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uto_infracao_sic_p" sheetId="1" r:id="rId4"/>
  </sheets>
  <definedNames>
    <definedName hidden="1" localSheetId="0" name="_xlnm._FilterDatabase">auto_infracao_sic_p!$A$1:$AT$2122</definedName>
  </definedNames>
  <calcPr/>
</workbook>
</file>

<file path=xl/sharedStrings.xml><?xml version="1.0" encoding="utf-8"?>
<sst xmlns="http://schemas.openxmlformats.org/spreadsheetml/2006/main" count="46329" uniqueCount="8708">
  <si>
    <t>SEQ_AUTO_INFRACAO</t>
  </si>
  <si>
    <t>REGISTRADO_SICAFI</t>
  </si>
  <si>
    <t>DES_STATUS_FORMULARIO</t>
  </si>
  <si>
    <t>SIT_CANCELADO</t>
  </si>
  <si>
    <t>NUM_AUTO_INFRACAO</t>
  </si>
  <si>
    <t>SER_AUTO_INFRACAO</t>
  </si>
  <si>
    <t>TIPO_AUTO</t>
  </si>
  <si>
    <t>TIPO_MULTA</t>
  </si>
  <si>
    <t>VAL_AUTO_INFRACAO</t>
  </si>
  <si>
    <t>PATRIMONIO_APURACAO</t>
  </si>
  <si>
    <t>GRAVIDADE_INFRACAO</t>
  </si>
  <si>
    <t>UNID_ARRECADACAO</t>
  </si>
  <si>
    <t>DES_AUTO_INFRACAO</t>
  </si>
  <si>
    <t>DES_RECEITA</t>
  </si>
  <si>
    <t>NO_TIPO_INFRACAO</t>
  </si>
  <si>
    <t>DAT_HORA_AUTO_INFRACAO</t>
  </si>
  <si>
    <t>FORMA_ENTREGA</t>
  </si>
  <si>
    <t>DAT_CIENCIA_AUTUACAO</t>
  </si>
  <si>
    <t>DS_CONCILIACAO_UNIDADE</t>
  </si>
  <si>
    <t>COD_MUNICIPIO</t>
  </si>
  <si>
    <t>NOM_MUNICIPIO</t>
  </si>
  <si>
    <t>SIG_UF</t>
  </si>
  <si>
    <t>BIOMA</t>
  </si>
  <si>
    <t>UNIDADE_CONSERVACAO</t>
  </si>
  <si>
    <t>NUM_PROCESSO</t>
  </si>
  <si>
    <t>DES_INFRACAO</t>
  </si>
  <si>
    <t>NOME_INFRATOR</t>
  </si>
  <si>
    <t>CPF_CNPJ_INFRATOR</t>
  </si>
  <si>
    <t>QTD_AREA</t>
  </si>
  <si>
    <t>INFRACAO_AREA</t>
  </si>
  <si>
    <t>DES_OUTROS_TIPO_AREA</t>
  </si>
  <si>
    <t>NUM_LONGITUDE_AUTO</t>
  </si>
  <si>
    <t>NUM_LATITUDE_AUTO</t>
  </si>
  <si>
    <t>DES_LOCAL_INFRACAO</t>
  </si>
  <si>
    <t>SEQ_NOTIFICACAO</t>
  </si>
  <si>
    <t>UNID_CONTROLE</t>
  </si>
  <si>
    <t>NOM_OPERACAO</t>
  </si>
  <si>
    <t>DES_TIPO_OPERACAO</t>
  </si>
  <si>
    <t>DS_ORGAO</t>
  </si>
  <si>
    <t>OPERACAO_SOL_RECURSO</t>
  </si>
  <si>
    <t>DAT_LANCAMENTO</t>
  </si>
  <si>
    <t>DAT_ALTERACAO</t>
  </si>
  <si>
    <t>DES_TIPO_HISTORICO_FORMULARIO</t>
  </si>
  <si>
    <t>ENQUADRAMENTO</t>
  </si>
  <si>
    <t>ENQUADRAMENTO_COMPLEMENTAR</t>
  </si>
  <si>
    <t>DAT_ULTIMA_ATUALIZACAO</t>
  </si>
  <si>
    <t>N</t>
  </si>
  <si>
    <t>Impresso</t>
  </si>
  <si>
    <t>E1CTE6RS</t>
  </si>
  <si>
    <t>Multa Simples</t>
  </si>
  <si>
    <t>Aberta</t>
  </si>
  <si>
    <t>Baixa</t>
  </si>
  <si>
    <t>Importar 30 (trinta) indivíduos da espécie Chromis cyanea, em desacordo com as Licenças de Importação LI 19/4416341-1, 19/4416342-0 e 19/4416343-8.</t>
  </si>
  <si>
    <t>Penalidade pecuniária - Pesca</t>
  </si>
  <si>
    <t>Pesca</t>
  </si>
  <si>
    <t>Representante</t>
  </si>
  <si>
    <t>Núcleo de Conciliação Ambiental/SP 2</t>
  </si>
  <si>
    <t>Guarulhos</t>
  </si>
  <si>
    <t>SP</t>
  </si>
  <si>
    <t>Mata Atlantica</t>
  </si>
  <si>
    <t>Infração de pesca(Não Classificada-Móvel)</t>
  </si>
  <si>
    <t>AQUARIOCA PRODUTOS AQUATICOS LTDA</t>
  </si>
  <si>
    <t>Não se aplica</t>
  </si>
  <si>
    <t>Terminal de Cargas (TECA) do Aeroporto Internacional de São Paulo</t>
  </si>
  <si>
    <t>SP/SUPES</t>
  </si>
  <si>
    <t>IBAMA</t>
  </si>
  <si>
    <t>38 Decreto 6514; 70 1º Lei 9605; 72 Lei 9605; 3º II Decreto 6514.</t>
  </si>
  <si>
    <t>S</t>
  </si>
  <si>
    <t>Lavrado</t>
  </si>
  <si>
    <t>BN4GBUAS</t>
  </si>
  <si>
    <t>Multa simples</t>
  </si>
  <si>
    <t>Inserir informação falsa ou enganosa em sistemas oficiais de controle de passeriformes ao realizar troca de mãe sem comprovação de óbito, fuga, furto ou roubo.</t>
  </si>
  <si>
    <t>Penalidade pecuniária - Outras</t>
  </si>
  <si>
    <t>Administração Ambiental</t>
  </si>
  <si>
    <t>Correios</t>
  </si>
  <si>
    <t>Pedra Bela</t>
  </si>
  <si>
    <t>Infração de Administração Ambiental(Não Classificada-Móvel)</t>
  </si>
  <si>
    <t>CEZAR XAVIER DE OLIVEIRA</t>
  </si>
  <si>
    <t>Rua dos Limas 06</t>
  </si>
  <si>
    <t>Operação</t>
  </si>
  <si>
    <t>Preenchido</t>
  </si>
  <si>
    <t>82 Decreto 6514/2008.</t>
  </si>
  <si>
    <t>34, Parágrafo 5 IN 10/2011.</t>
  </si>
  <si>
    <t>PML3IR96</t>
  </si>
  <si>
    <t>Inserir informação falsa ou enganosa em sistemas oficiais de controle de passeriformes ao declarar nascimento em sistema com datas divergentes das datas informadas quando do requerimento de anilhas.</t>
  </si>
  <si>
    <t>Mogi das Cruzes</t>
  </si>
  <si>
    <t>FUAD CARAM NETO</t>
  </si>
  <si>
    <t>Rua Arujá, 216</t>
  </si>
  <si>
    <t>35, Parágrafo 2 IN 10/2011.</t>
  </si>
  <si>
    <t>Cancelado</t>
  </si>
  <si>
    <t>3YDZ962G</t>
  </si>
  <si>
    <t>Inserir informação falsa ou enganosa em sistemas oficiais de controle de passeriformes ao declarar nascimento em sistema em datas divergentes das datas informadas quando do requerimento de anilhas.</t>
  </si>
  <si>
    <t>25S7EF8C</t>
  </si>
  <si>
    <t>Fechada</t>
  </si>
  <si>
    <t>Utilizar três espécimes da fauna silvestre em desacordo com a licença obtida. No caso, o interessado reproduziu a ave de anilha Sispass 2.2 SP/A 036228 sem prévio requerimento de anilhas e obteve dois filhotes.</t>
  </si>
  <si>
    <t>Penalidade pecuniária - Fauna</t>
  </si>
  <si>
    <t>Fauna</t>
  </si>
  <si>
    <t>Campinas</t>
  </si>
  <si>
    <t>Infração da Fauna(Não Classificada-Móvel)</t>
  </si>
  <si>
    <t>JOÃO ESLEN LIMA BARRETO</t>
  </si>
  <si>
    <t>Criador amador de passeriformes João Esley Lima Barreto. Aeroporto Internacional de Viracopos</t>
  </si>
  <si>
    <t>VIRACOPOS/UNID_TEC</t>
  </si>
  <si>
    <t>OPERAÇÃO COMÉRCIO EXTERIOR</t>
  </si>
  <si>
    <t>24 I Decreto 6514; 70 1º Lei 9605; 72 Lei 9605; 3º II Decreto 6514.</t>
  </si>
  <si>
    <t>36, III IN Ibama 10/2011.</t>
  </si>
  <si>
    <t>V4C0XOU6</t>
  </si>
  <si>
    <t>CE/SUPES</t>
  </si>
  <si>
    <t>Deixar de apresentar relatório ambientais no periodo de 2018 e 2019, conforme despacho NQA/Ibama/CE 4841134</t>
  </si>
  <si>
    <t>Penalidade pecuniária - Cadastro Técnico Federal</t>
  </si>
  <si>
    <t>Cadastro Técnico Federal</t>
  </si>
  <si>
    <t>A DEFINIR</t>
  </si>
  <si>
    <t>Fortaleza</t>
  </si>
  <si>
    <t>CE</t>
  </si>
  <si>
    <t>Caatinga</t>
  </si>
  <si>
    <t>Deixar de atender exigências quando devidamente notificado pela autoridade ambiental competente no prazo concedido, visando à regularização, correção ou adoção de medidas de controle para cessar a degradação ambiental. Deixar de apresentar relatórios ou informações ambientais nos prazos exigidos pela legislação ou, quando aplicável, naquele determinado pela autoridade ambiental.</t>
  </si>
  <si>
    <t>CEPROF - CENTRO DE PROTESE E ORTESE DE FORTALEZA LTDA</t>
  </si>
  <si>
    <t>Desmatamento</t>
  </si>
  <si>
    <t>na Supes/Ibama/CE</t>
  </si>
  <si>
    <t>Rotina</t>
  </si>
  <si>
    <t>70 §1º 72 Lei 9605/98; 3º II 81 Decreto 6514/2008.</t>
  </si>
  <si>
    <t>4XUSZ365</t>
  </si>
  <si>
    <t>Advertência</t>
  </si>
  <si>
    <t>Dificultar a ação do Poder Público no exercício de atividade de fiscalização ambiental, deixando de atualizar o endereço, conforme previsão do Art. 4°, parágrafos 6° e 7°, da Instrução Normativa IBAMA n° 10/2011.</t>
  </si>
  <si>
    <t>Penalidade pecuniária - Administração Ambiental</t>
  </si>
  <si>
    <t>Núcleo de Conciliação Ambiental/MG</t>
  </si>
  <si>
    <t>Santa Maria de Itabira</t>
  </si>
  <si>
    <t>MG</t>
  </si>
  <si>
    <t>Cerrado</t>
  </si>
  <si>
    <t>Infração referente ao Controle ambiental não classificada - Advertência</t>
  </si>
  <si>
    <t>ALEX MARTINS DE OLIVEIRA</t>
  </si>
  <si>
    <t>Rua Pedro Leopoldo, n° 344 - Vila Marília - Santa Maria de Itabira/MG - CEP 35.900-122</t>
  </si>
  <si>
    <t>MG/SUPES</t>
  </si>
  <si>
    <t>ROTINA X</t>
  </si>
  <si>
    <t>77 Decreto 6514; 70 1º Lei 9605; 72 Lei 9605; 3º I Decreto 6514; 3º IX Decreto 6514.</t>
  </si>
  <si>
    <t>5°, 1° Decreto Federal 6.514/2008.</t>
  </si>
  <si>
    <t>KWOQQVTU</t>
  </si>
  <si>
    <t>Pará de Minas</t>
  </si>
  <si>
    <t>ORLANDO MORAIS DE OLIVEIRA</t>
  </si>
  <si>
    <t>Rua Santa Rita, n° 67 - Padre Libério - Pará de Minas/MG - CEP 35.660-294</t>
  </si>
  <si>
    <t>EL6EQPWW</t>
  </si>
  <si>
    <t>Média</t>
  </si>
  <si>
    <t>Apresentar informações falsas em sistema oficial de controle.
Volume Total: 607,213 m3 de madeira serrada, com estoque e movimentação irregular no sistema DOF. Sendo 157,003 m3 de madeira serrada constantes somente no pátio virtual e 450,210 m3 de madeira serrada referente a emissão de 16 Documentos de Origem Florestal, modalidade exportação, emitidos somente no sistema DOF.</t>
  </si>
  <si>
    <t>Penalidade pecuniária - Flora</t>
  </si>
  <si>
    <t>Flora</t>
  </si>
  <si>
    <t>Sant' Ana do Livramento</t>
  </si>
  <si>
    <t>RS</t>
  </si>
  <si>
    <t>Pampa</t>
  </si>
  <si>
    <t>Infração da Flora(Não Classificada-Móvel)</t>
  </si>
  <si>
    <t>Ricardo Martinez Alves</t>
  </si>
  <si>
    <t>Atividade</t>
  </si>
  <si>
    <t>Empresa Alpamad Export</t>
  </si>
  <si>
    <t>RS/SUPES</t>
  </si>
  <si>
    <t>ROTINA</t>
  </si>
  <si>
    <t>82 Decreto 6514; 70 1º Lei 9605; 72 Lei 9605; 3º II Decreto 6514.</t>
  </si>
  <si>
    <t>BUHODEX9</t>
  </si>
  <si>
    <t>Impedir a regeneração natural de vegetação nativa em 1,0 ha da Fazenda Capivara, local cuja regeneração foi indicada pela autoridade ambiental competente, através de exigência de Plano de Recuperação de Áreas Degradadas, constante do processo 02015.012502/2004-81.</t>
  </si>
  <si>
    <t>Presidente Juscelino</t>
  </si>
  <si>
    <t>MESSIAS DE CASTRO</t>
  </si>
  <si>
    <t>Fazenda Capivara, zona rural de Presidente Juscelino/MG</t>
  </si>
  <si>
    <t>48 Decreto 6514; 70 1º Lei 9605; 72 Lei 9605; 3º II Decreto 6514.</t>
  </si>
  <si>
    <t>ZE1PAJDO</t>
  </si>
  <si>
    <t>Destruir 76,45 hectares de vegetação nativa dentro da Terra Indígena Portal do Encantado,área objeto de especial preservação não passível de autorização para exploração ou supressão.</t>
  </si>
  <si>
    <t>Núcleo de Conciliação Ambiental/MT 2</t>
  </si>
  <si>
    <t>Porto Esperidião</t>
  </si>
  <si>
    <t>MT</t>
  </si>
  <si>
    <t>Adilson Gonçalves de Sá</t>
  </si>
  <si>
    <t>Terra Indígena Portal do Encantado, Zona rural de Porto Esperidião</t>
  </si>
  <si>
    <t>MT/SUPES</t>
  </si>
  <si>
    <t>ROTINA XII</t>
  </si>
  <si>
    <t>70 1º Lei 9605; 72 Lei 9605; 3º II Decreto 6514; 3º VII Decreto 6514.</t>
  </si>
  <si>
    <t>49, caput 6514/2008.</t>
  </si>
  <si>
    <t>Q3HHHP0C</t>
  </si>
  <si>
    <t>CGFIS</t>
  </si>
  <si>
    <t>Ter em depósito 246,1496 metros cúbicos de madeiras serradas sem autorização do órgão ambiental competente. Observo que após comparação dps romaneios apresentafos pela empresa com o saldo SISDOF, ficou comprovado que a empresa mantinha em seu estoque de pátio os 246,1496 metros cúbicos de madeiras serradas sem comprovação de origem,  destaco que foi considerado 100,0 metros cúbicos de madeiras em toras da espécie Manilkara huberi_Macaranduba para fins de conversão em razão do período do bloqueio antes da chegada da equipe na empresa</t>
  </si>
  <si>
    <t>Núcleo de Conciliação Ambiental/PR</t>
  </si>
  <si>
    <t>Foz do Jordão</t>
  </si>
  <si>
    <t>PR</t>
  </si>
  <si>
    <t>Amazonia</t>
  </si>
  <si>
    <t>C L SANTOS</t>
  </si>
  <si>
    <t>Unidade Técnica IBAMA em Foz do Iguaçu PR</t>
  </si>
  <si>
    <t>DES GCDA BASE XXX</t>
  </si>
  <si>
    <t>47 § 1 Decreto 6514/2008.</t>
  </si>
  <si>
    <t>D3B0EJN4</t>
  </si>
  <si>
    <t>Dificultar a ação do poder público no exercício de atividade de fiscalização ambiental. Observo que a senhora Cristiane, na tentativa de enganar os Agentes Ambientais Federais do IBAMA, visando não ter parte das madeiras que estavam depositadas no pátio da empresa apreendida, apresentou uma declaração que afirmava que a capacidade de serrar madeiras em toras de qualidade, segundo ela "vermelha" seria de 50 metros cúbicos diário,  quando na verdade a capacidade real para o tipo de equipamento que a empresa possui é de 30 metros cúbicos de madeiras em toras no máximo por dia de trabalho, ficando caracterizado o cometimento de infração ambiental.</t>
  </si>
  <si>
    <t>Núcleo de Conciliação Ambiental/RR</t>
  </si>
  <si>
    <t>Boa Vista</t>
  </si>
  <si>
    <t>RR</t>
  </si>
  <si>
    <t>CRISTIANI LOPES SANTOS</t>
  </si>
  <si>
    <t>77 Decreto 6514/2008.</t>
  </si>
  <si>
    <t>DKHXY8AK</t>
  </si>
  <si>
    <t>Dificultar ação fiscalizatória de xxx, ao informar dados cadastrais errados em cadastro do SISPASS.</t>
  </si>
  <si>
    <t>Núcleo de Conciliação Ambiental/SANTARÉM</t>
  </si>
  <si>
    <t>Belém</t>
  </si>
  <si>
    <t>PA</t>
  </si>
  <si>
    <t>RAFAEL BRUNO ROCHA DA SILVA</t>
  </si>
  <si>
    <t>Passagem José de Alencar, 15, Bengui, Belém, PA, 66630-070.</t>
  </si>
  <si>
    <t>PA/SUPES</t>
  </si>
  <si>
    <t>ROTINA II BELEM</t>
  </si>
  <si>
    <t>77 Decreto 6514; 70 1º Lei 9605; 72 Lei 9605; 3º II Decreto 6514; 3º IX Decreto 6514.</t>
  </si>
  <si>
    <t>4º, §§ 6º e 7º IN Ibama nº 10/2011.</t>
  </si>
  <si>
    <t>DX11J2AG</t>
  </si>
  <si>
    <t>Apresentar informação falsa em sistema oficial de controle, sistema SISDOF ao declarar que haviam estocados no pátio da empresa madeireira 721,1732 metros cúbicos de madeiras, ao ser realizada a inspeção e comparação dos romaneios apresentados pela empresa com o saldo presente no sistema foi comprovado que tais madeiras não se encontravam estocadas no pátio, ficando caracterizado o cometimento de infração ambiental.</t>
  </si>
  <si>
    <t>Rua Andrea Madruga Saraiva, 400, Distrito Industrial Governador Aquilino Duarte, CEP 69.315-238, Boa Vista RR</t>
  </si>
  <si>
    <t>101, IV Decreto Federal 6.514/08.</t>
  </si>
  <si>
    <t>FZ2WTGOQ</t>
  </si>
  <si>
    <t>Transportar 230 pássaros silvestres nativos sem a devida permissão, licença ou autorização da autoridade competente. Auto lavrado com base na Ocorrência Policial xxx</t>
  </si>
  <si>
    <t>Bagé</t>
  </si>
  <si>
    <t>Marli da Rosa Ridrigues</t>
  </si>
  <si>
    <t>Rodovia BR 293, km 194</t>
  </si>
  <si>
    <t>24 3º I Decreto 6514; 24 3º II Decreto 6514; 24 3º III Decreto 6514; 70 1º Lei 9605; 72 Lei 9605; 3º II Decreto 6514.</t>
  </si>
  <si>
    <t>5MJLLOOC</t>
  </si>
  <si>
    <t>Realizar lavra e extração mineral de ouro dentro do Quilombo Mata Cavalo sem permissão ou licença da autoridade ambiental competente.</t>
  </si>
  <si>
    <t>Penalidade pecuniária - Licenciamento</t>
  </si>
  <si>
    <t>Licenciamento</t>
  </si>
  <si>
    <t>Nossa Senhora do Livramento</t>
  </si>
  <si>
    <t>Infração de Licenciamento(Não Classificada-Móvel)</t>
  </si>
  <si>
    <t>Sérgio Rampasso</t>
  </si>
  <si>
    <t>Quilombo Mata Cavalo</t>
  </si>
  <si>
    <t>63 Decreto 6514; 70 1º Lei 9605; 72 Lei 9605; 3º II Decreto 6514.</t>
  </si>
  <si>
    <t>9RSENHN9</t>
  </si>
  <si>
    <t>Não informado</t>
  </si>
  <si>
    <t>Cuiabá</t>
  </si>
  <si>
    <t>EWERTON FLORIAN CAETANO ME</t>
  </si>
  <si>
    <t>Superintendência do Ibama em Mato Grosso</t>
  </si>
  <si>
    <t>UE8X4X95</t>
  </si>
  <si>
    <t>Deixar de apresentar o relatório anual do RAPP (Lei 6.938/1981: artigo 17-C) o relatório da Lei 10.165/2000 no cadastro técnico Federal-CTF, referente ao ano de 2019/2018 não foi entregue no prazo exigido pela legislação.</t>
  </si>
  <si>
    <t>Infração do CTF(Não Classificada-Móvel)</t>
  </si>
  <si>
    <t>INTRALOX BRASIL LTDA</t>
  </si>
  <si>
    <t>Aeroporto Internacional de Viracopos, Rodovia Santos Dumont, km-66. (Intralox Brasil Ltda).</t>
  </si>
  <si>
    <t>70 1º Lei 9605; 72 Lei 9605; 3º II Decreto 6514.</t>
  </si>
  <si>
    <t>81, - Decreto Federal 6.514/2008.</t>
  </si>
  <si>
    <t>XV44UFNX</t>
  </si>
  <si>
    <t>Deixar de apresentar os relatórios anuais do RAPP (Lei 6.938/1981: artigo 17- C) os relatórios da Lei 10.165/2000 no cadastro técnico Federal-CTF, referentes aos anos de 2016/2015 e 2019/2018 não foram entregues nos prazos exigidos pela legislação.</t>
  </si>
  <si>
    <t>BS&amp;B SAFETY SYSTEMS LTDA</t>
  </si>
  <si>
    <t>Aeroporto Internacional de Viracopos Rodovia Santos Dumont, km-66 (B.S&amp;B Safety)</t>
  </si>
  <si>
    <t>6UAXGWZK</t>
  </si>
  <si>
    <t>Transportar espécimes da fauna silvestre nativa sem a devida permissão, licença ou autorização da autoridade competente. 230 pássaros, conforme Ocorrência Policial xxx</t>
  </si>
  <si>
    <t>Donizete Maranho</t>
  </si>
  <si>
    <t>24 3º I Decreto 6514; 24 3º II Decreto 6514; 24 3º III Decreto 6514; 70 1º Lei 9605; 72 Lei 9605; 3º II Decreto 6514; 3º IV Decreto 6514.</t>
  </si>
  <si>
    <t>FV7SMMRM</t>
  </si>
  <si>
    <t>Deixar de apresentar relatório anual no RAPP (Lei 6.938/1981: artigo 17-C) o relatório da Lei 10.165, no cadastro técnico Federal-CTF, referente ao ano de 2019/2018 não foi entregue no prazo exigido pela legislação.</t>
  </si>
  <si>
    <t>COOPERATIVA MINERAL DA BAHIA</t>
  </si>
  <si>
    <t>Aeroporto Internacional de Viracopos Rodovia Santos Dumont, km 66, Terminal de cargas - TECA. Coop. Mineral da Bahia.</t>
  </si>
  <si>
    <t>7BBREDJF</t>
  </si>
  <si>
    <t>UBERLÂNDIA/UNID_TEC</t>
  </si>
  <si>
    <t>Utilizar 08 espécimes da fauna silvestre nativa em desacordo com a licença obtida.</t>
  </si>
  <si>
    <t>Patrocínio</t>
  </si>
  <si>
    <t>CLEUTON JOSE BORGES</t>
  </si>
  <si>
    <t>Alameda das Caviúnas 3756 B Morada Nova Patrocínio MG</t>
  </si>
  <si>
    <t>ROTINA UBERLÂNDIA II</t>
  </si>
  <si>
    <t>24 Inc. 1,2, § 6 Decreto 6514/2008.</t>
  </si>
  <si>
    <t>4RL5LSDN</t>
  </si>
  <si>
    <t>Transportar espécimes da fauna silvestre nativa sem a devida permissão, autorização ou licença da autoridade competente Auto lavrado com base na Ocorrência Policial xxx. Total de 230 pássaros</t>
  </si>
  <si>
    <t>DONIZETI MARANHO</t>
  </si>
  <si>
    <t>24 Inc. 1,2,3, § 3 Decreto 6514/2008.</t>
  </si>
  <si>
    <t>PYZGB2D1</t>
  </si>
  <si>
    <t>Descumprir embargo de atividade estabelecida pelo TEI nº 610380/C, referente ao Processo nº 02007.002612/2010-82</t>
  </si>
  <si>
    <t>Núcleo de Conciliação Ambiental/CE</t>
  </si>
  <si>
    <t>Sobral</t>
  </si>
  <si>
    <t>Explorar ou danificar floresta ou qualquer tipo de vegetação nativa ou de espécies nativas plantadas, localizada fora de área de reserva legal averbada, de domínio público ou privado, sem aprovação prévia do órgão ambiental competente ou em desacordo com a concedida.</t>
  </si>
  <si>
    <t>ANTONIO MAURICIO RIBEIRO CARVALHO</t>
  </si>
  <si>
    <t>Sitio Floresta</t>
  </si>
  <si>
    <t>70 §1º 72 Lei 9605/98; 3º II 79 Decreto 6514/2008.</t>
  </si>
  <si>
    <t>DTIV4HH6</t>
  </si>
  <si>
    <t>SC/SUPES</t>
  </si>
  <si>
    <t>Ter em cativeiro 47 aves da fauna silvestre nativa sem a devida permissão, licença ou autorização da autoridade ambiental competente.
Segundo o Termo Circunstanciado xxx, encaminhado a este IBAMA através do processo 02026.002299/2019-92, nove aves constam dos anexos I e II da Convenção sobre Comércio Internacional das Espécies da Flora e Fauna Selvagens em Perigo de Extinção (CITES); uma consta da Portaria MMA 444/2014 e quatro constam da Resolução CONSEMA 02/2011 - SC:
Brotogeris tirica - 5 indivíduos - CITES
Amazona vinacea - 1 indivíduo - Portaria 444/2014
Pianopsitta pileata - 3 indivíduos - CITES
Paroaria sp. - 1 indivíduo - CITES
Ramphocelus bresilius - 1 indivíduo - Resolução CONSEMA 02/2011 - SC
Sporophila angolensis - 3 indivíduos - Resolução CONSEMA 02/2011 - SC.
As demais 33 aves listadas no Laudo Pericial xxx não constam em listas oficiais de risco ou ameaça de extinção.
Todas as 47 aves já foram apreendidas pela Polícia Civil de Santa Catarina e entregues ao Centro de Triagem de Animais Silvestres (CETAS) da Polícia Militar Ambiental, conforme documento SEI xxx.</t>
  </si>
  <si>
    <t>Joinville</t>
  </si>
  <si>
    <t>SC</t>
  </si>
  <si>
    <t>DIEGO CRISTIAN MAY</t>
  </si>
  <si>
    <t>Residencial</t>
  </si>
  <si>
    <t>Decreto, . 76.623/1975
; Portaria MMA, 1 444/2014; Resolução CONSEMA, 1 02/2011 - SC.</t>
  </si>
  <si>
    <t>1T78X1G3</t>
  </si>
  <si>
    <t>Deixar de atender as exigências regulamentares quando devidamente notificado pela autoridade ambiental competente, no prazo concedido através da Notificação nº 604/2019-NUIP-CE/SUPES/CE, SEI 4951872</t>
  </si>
  <si>
    <t>Altaneira</t>
  </si>
  <si>
    <t>MUNICIPIO DE ALTANEIRA</t>
  </si>
  <si>
    <t>no endereço da autuada</t>
  </si>
  <si>
    <t>70 §1º 72 Lei 9605/98; 3º II 80 Decreto 6514/2008.</t>
  </si>
  <si>
    <t>XW26N5MA</t>
  </si>
  <si>
    <t>Vender 30,285 m cúbicos de madeiras em desacordo com a licença outorgada pela autoridade ambiental competente (essências divergentes entre a carga e a guia florestal).</t>
  </si>
  <si>
    <t>Madeireira Incomol Ltda Epp</t>
  </si>
  <si>
    <t>47 1º Decreto 6514; 70 1º Lei 9605; 72 Lei 9605; 3º II Decreto 6514; 3º IV Decreto 6514.</t>
  </si>
  <si>
    <t>EU6I3KR1</t>
  </si>
  <si>
    <t>Efetuar a plataforma P-12, no dia 21/10/2019, de acordo com a comunicação inicial do incidente (UO-BC-0382/2019), a descarga de 0,00024 metros cúbicos de óleo diesel em desacordo com a legislação e com o autorizado no processo de licenciamento.</t>
  </si>
  <si>
    <t>Penalidade pecuniária - Controle ambiental</t>
  </si>
  <si>
    <t>Emergência Ambiental</t>
  </si>
  <si>
    <t>Núcleo de Conciliação Ambiental/RJ</t>
  </si>
  <si>
    <t>Rio de Janeiro</t>
  </si>
  <si>
    <t>RJ</t>
  </si>
  <si>
    <t>Costeiro e Marinho</t>
  </si>
  <si>
    <t>PETROLEO BRASILEIRO S/A - PETROBRAS</t>
  </si>
  <si>
    <t>NUPAEM RJ</t>
  </si>
  <si>
    <t>RJ/SUPES</t>
  </si>
  <si>
    <t>AME BOTO ROTINA III</t>
  </si>
  <si>
    <t>27 II Lei 9966; 70 1º Lei 9605; 72 Lei 9605; 3º II Decreto 6514.</t>
  </si>
  <si>
    <t>9c/c36, III,1°§ e 2°§ Decreto Federal 4136/2002.</t>
  </si>
  <si>
    <t>7S6Q5SEE</t>
  </si>
  <si>
    <t>Efetuar a plataforma PPG-1A, no dia 15/10/2019, de acordo com a comunicação inicial do incidente, a descarga de 0,015 metros cúbicos de petróleo em desacordo com a legislação e com o autorizado no processo de licenciamento.</t>
  </si>
  <si>
    <t>PERENCO PETRÓLEO E GÁS DO BRASIL LTDA</t>
  </si>
  <si>
    <t>27 Inc. 2 Lei 9966/00.</t>
  </si>
  <si>
    <t>DUY776IT</t>
  </si>
  <si>
    <t>Efetuar a embarcação Locar Pipe, no dia 01/11/2019, de acordo com a comunicação inicial do incidente (SUB-IPSUB-0003/2019 retificador) e RAIPO, a descarga de 0,001 metro cúbico de fluído hidráulico em desacordo com a legislação e com o autorizado no processo de licenciamento.</t>
  </si>
  <si>
    <t>AV91Y4I4</t>
  </si>
  <si>
    <t>Efetuar a plataforma P-09, no dia 14/09/2019, de acordo com a comunicação inicial do incidente e RAIPO (UO-BC-0338/2019), a descarga de 0,0001 metros cúbicos de petróleo em desacordo com a legislação e com o autorizado no processo de licenciamento.</t>
  </si>
  <si>
    <t>9c/c 36 , III, 1°§ e 2°§ Decreto Federal 4136/2002.</t>
  </si>
  <si>
    <t>IUWT6CL6</t>
  </si>
  <si>
    <t>Efetuar a plataforma P-35, no dia 20/10/2019, de acordo com a comunicação inicial do incidente (UO-BC-0381/2019) e RAIPO, a descarga de 0,0003 metros cúbicos de petróleo em desacordo com a legislação e com o autorizado no processo de licenciamento.</t>
  </si>
  <si>
    <t>OLE OLEO ROTINA I</t>
  </si>
  <si>
    <t>9 c/c36, III,1°§ e 2°§ Decreto Federal 4136/2002.</t>
  </si>
  <si>
    <t>810BYCSB</t>
  </si>
  <si>
    <t>Efetuar a plataforma PCE-1, no dia 18/10/2019, de acordo com a comunicação inicial do incidente (UO-BC-0378/2019) e RAIPO, a descarga de 0,008 metros cúbicos de óleo lubrificante em desacordo com a legislação e com o autorizado no processo de licenciamento.</t>
  </si>
  <si>
    <t>26E4VF1M</t>
  </si>
  <si>
    <t>Efetuar a plataforma P-55, no dia 28/10/2019, de acordo com a comunicação inicial do incidente (UO-ES-0239/2019), a descarga de 0,0005 metros cúbicos de óleo diesel em desacordo com a legislação e com o autorizado no processo de licenciamento.</t>
  </si>
  <si>
    <t>BXIEXVN2</t>
  </si>
  <si>
    <t>Efetuar a embarcação SESV Skandi Santos, no dia 28/10/2019, de acordo com a comunicação inicial do incidente (POCOS/CAMAP-AR-AP-0025/2019), a descarga de 0,009 metros cúbicos de petróleo em desacordo com a legislação e com o autorizado no processo de licenciamento.</t>
  </si>
  <si>
    <t>70 § 1 72 II Lei 9605/98; 27 Inc. 2 Lei 9966/00.</t>
  </si>
  <si>
    <t>EF7VMXI4</t>
  </si>
  <si>
    <t>Efetuar a instalação PLSV Sapura Esmeralda, no dia 31/08/2019, de acordo com a comunicação inicial do incidente e RAIPO (SUB-OPSUB-0123/2019), a descarga de 0,000003metros cúbicos de fluído hidráulico (Shell Tellus S2 V32) em desacordo com a legislação e com o autorizado no processo de licenciamento.</t>
  </si>
  <si>
    <t>9c/c36, III, 1°§ e 2°§ Decreto Federal 4136/2002.</t>
  </si>
  <si>
    <t>903ON3AX</t>
  </si>
  <si>
    <t>Efetuar a embarcação Skandi Santos, no dia 09/09/2019, de acordo com a comunicação inicial do incidente (SUB/EQSB-0047/2019 retificador), a descarga de 0,0018 metros cúbicos de fluído hidráulico em desacordo com a legislação e com o autorizado no processo de licenciamento.</t>
  </si>
  <si>
    <t>NuPAEM RJ</t>
  </si>
  <si>
    <t>ICE1NPNA</t>
  </si>
  <si>
    <t>Efetuar a embarcação NS-32 (NorbleVIII), no dia 05/09/2019, de acordo com a comunicação inicial do incidente (POCOS/CAMAP-AR-AP- 0018/2019 retificador), a descarga de 0,000945 metros cúbicos de petróleo em desacordo com a legislação e com o autorizado no processo de licenciamento.</t>
  </si>
  <si>
    <t>297XL3MS</t>
  </si>
  <si>
    <t>Efetuar a embarcação Skandi Salvador, no dia 07/10/2019, de acordo com a comunicação inicial do incidente e RAIPO (SUB-OPSUB-0140/2019), a descarga de 0,0002 metros cúbicos de fluído hidráulico BIO FLUID HEES 32 em desacordo com a legislação e com o autorizado no processo de licenciamento.</t>
  </si>
  <si>
    <t>65IQR7J5</t>
  </si>
  <si>
    <t>Efetuar a embarcação RSV SEALION AMAZÔNIA, no dia 16/10/2019, de acordo com a comunicação inicial do incidente e RAIPO (SUB-OPSUB-0146/2019 retificador), a descarga de 0,00357 metros cúbicos de óleo lubrificante em desacordo com a legislação e com o autorizado no processo de licenciamento.</t>
  </si>
  <si>
    <t>L8GFTOKD</t>
  </si>
  <si>
    <t>Efetuar a embarcação Skandi Salvador, no dia 10/10/2019, de acordo com a comunicação inicial do incidente e RAIPO (SUB-OPSUB-0144/2019), a descarga de 0,000001 metros cúbicos de fluído hidráulico Shell Tellus S2 V32 em desacordo com a legislação e com o autorizado no processo de licenciamento.</t>
  </si>
  <si>
    <t>55A5EK88</t>
  </si>
  <si>
    <t>Efetuar a embarcação NS-32 (NorbleVIII), no dia 17/10/2019, de acordo com a comunicação inicial do incidente (POCOS/CAMAP-AR-AP-0023/2019 retificador) e RAIPO, a descarga de 0,036 metros cúbicos de fluído sintético de perfuração em desacordo com a legislação e com o autorizado no processo de licenciamento.</t>
  </si>
  <si>
    <t>LODT7N3R</t>
  </si>
  <si>
    <t>Transportar 16,259 m3 de madeira serrada sem licença válida para todo o tempo de viagem, outorgada pela autoridade competente. Infração constatada mediante uso de guia florestal falsa.</t>
  </si>
  <si>
    <t>Sinop</t>
  </si>
  <si>
    <t>OTACILIO ANTONIO OLIVEIRA NETO</t>
  </si>
  <si>
    <t>BR 163, km 839.</t>
  </si>
  <si>
    <t>SIN/GEREX</t>
  </si>
  <si>
    <t>ROTINA XI</t>
  </si>
  <si>
    <t>47 1º Decreto 6514; 47 3º Decreto 6514; 70 1º Lei 9605; 72 Lei 9605; 3º II Decreto 6514; 3º IV Decreto 6514.</t>
  </si>
  <si>
    <t>O3OP8QGB</t>
  </si>
  <si>
    <t>Efetuar a embarcação Locar Pipe, no dia 10/09/2019, de acordo com a comunicação inicial do incidente (SUB/IPSUB-0001/2019 retificador), a descarga de 0,0001 metros cúbicos de fluído hidráulico em desacordo com a legislação e com o autorizado no processo de licenciamento.</t>
  </si>
  <si>
    <t>F8ARTMO6</t>
  </si>
  <si>
    <t>Efetuar a embarcação RSV CBO Guanabara, no dia 03/10/2019, de acordo com a comunicação inicial do incidente e RAIPO (SUB-OPSUB-0139/2019 retificador), a descarga de 0,005 metros cúbicos de fluído hidráulico Nuto H32 em desacordo com a legislação e com o autorizado no processo de licenciamento.</t>
  </si>
  <si>
    <t>CGYT9VIU</t>
  </si>
  <si>
    <t>Efetuar a plataforma P-19, no dia 23/09/2019, de acordo com a comunicação inicial do incidente e RAIPO (UO-BC-0350/2019), a descarga de 0,00029 metros cúbicos de fluído hidráulico em desacordo com a legislação e com o autorizado no processo de licenciamento.</t>
  </si>
  <si>
    <t>AE6D7M5N</t>
  </si>
  <si>
    <t>Efetuar a plataforma P-35, no dia 22/09/2019, de acordo com a comunicação inicial do incidente e RAIPO (UO-BC-0348/2019), a descarga de 0,026 metros cúbicos de petróleo em desacordo com a legislação e com o autorizado no processo de licenciamento.</t>
  </si>
  <si>
    <t>5CEED0GI</t>
  </si>
  <si>
    <t>Efetuar a plataforma PCH-2, no dia 22/04/2019, de acordo com a comunicação inicial do incidente e RAIPO (UO-BC-0155/2019), a descarga de 0,003 metros cúbicos de óleo diesel em desacordo com a legislação e com o autorizado no processo de licenciamento.</t>
  </si>
  <si>
    <t>084GEKBC</t>
  </si>
  <si>
    <t>Efetuar a plataforma FPSO Cidade do Rio de Janeiro no dia 02/12/2019, de acordo com a comunicação inicial do incidente (UO-BC-0299/2019 retificador), a descarga de 10,2556 metros cúbicos de petróleo em desacordo com a legislação e com o autorizado no processo de licenciamento.</t>
  </si>
  <si>
    <t>Núcleo de Conciliação Ambiental Nacional 2</t>
  </si>
  <si>
    <t>9c/c 36, IIi 1°§ e 2°§ Decreto 4136/2002.</t>
  </si>
  <si>
    <t>IPMSSF8M</t>
  </si>
  <si>
    <t>Transportar 10,3 metros cúbicos de produto de de origem vegetal (Pisos/Assoalhos), sem licença válida para todo o tempo da viagem.</t>
  </si>
  <si>
    <t>Curitiba</t>
  </si>
  <si>
    <t>Ind. e Com. de Mad. Pau d'arco Ltda</t>
  </si>
  <si>
    <t>Pátio da empresa Skill Materiais de Construção Ltda.</t>
  </si>
  <si>
    <t>PR/SUPES</t>
  </si>
  <si>
    <t>ROTINA DITEC-PR</t>
  </si>
  <si>
    <t>70 1º Lei 9605; 72 Lei 9605; 3º II Decreto 6514; 3º IV Decreto 6514.</t>
  </si>
  <si>
    <t>GNKWFL05</t>
  </si>
  <si>
    <t>Apresentar informação falsa no Sispass ( Sistema Oficial de Controle) ao utilizar  de cadastro da  criadora Rosângela A de Oliveira falecida em 14/04/2018 conforme relatório anexo.</t>
  </si>
  <si>
    <t>Rua Alameda das Caviúnas 3746B Morada Nova. Patrocínio MG</t>
  </si>
  <si>
    <t>6F2OYM0G</t>
  </si>
  <si>
    <t>Apresentar informação falsa nos sistema oficial de controle DOF ao manter saldo virtual fícticio de madeira nativa não compatível com o estoque físico no pátio da empresa.</t>
  </si>
  <si>
    <t>SKILL MATERIAIS DE CONSTRUÇÃO LTDA-ME</t>
  </si>
  <si>
    <t>Empresa Skill Materiais de Construção Ltda.</t>
  </si>
  <si>
    <t>E2TAMX8V</t>
  </si>
  <si>
    <t>Ter em depósito 161,51 metros cúbicos de madeira serrada de diversa espécies, conforme planilha em anexo, sem licença valida para o armazenamento outorgada pela autoridade ambiental competente.</t>
  </si>
  <si>
    <t>Z2M6GEX6</t>
  </si>
  <si>
    <t>GO/SUPES</t>
  </si>
  <si>
    <t>Transportar 20,446 metros cúbicos de madeiras serradas (alisares, portais e S4S), sem licença ambiental válida para todo o tempo da viagem. Percurso diferente do declarado e DOF-CF emitido para destinatário sujeito ao CTF e que exerce atividade pertinente ao controle florestal (madeireira).</t>
  </si>
  <si>
    <t>Pessoalmente</t>
  </si>
  <si>
    <t>Rio Verde</t>
  </si>
  <si>
    <t>GO</t>
  </si>
  <si>
    <t>ALEXANDRO FERNANDES DE OLIVEIRA</t>
  </si>
  <si>
    <t>Posto da PRF na BR-060 em Rio Verde/GO</t>
  </si>
  <si>
    <t>DES ROTINA XII</t>
  </si>
  <si>
    <t>47 § 1,2 Decreto 6514/2008.</t>
  </si>
  <si>
    <t>48, 50, II, 1 IN IBAMA 21/2014.</t>
  </si>
  <si>
    <t>G8J8CX1O</t>
  </si>
  <si>
    <t>Ter em depósito 178,53 metros cúbicos de madeira serrada de diversas espécies, conforme planilha em anexo, sem licença valida para o armazenamento, outorgada pela autoridade competente.</t>
  </si>
  <si>
    <t>COLNAGHI SKILL COMÉRCIO DE MADEIRAS LTDA</t>
  </si>
  <si>
    <t>Pátio da empresa Colnaghi Skill Comércio de madeiras LTDA.</t>
  </si>
  <si>
    <t>6PBIJN70</t>
  </si>
  <si>
    <t>TO/SUPES</t>
  </si>
  <si>
    <t>Impedir a regeneração natural da vegetação nativa em 0,2726 hectares, localizada na Ilha da Saudade, Rio Araguaia, considerada de preservação permanente, sem a devida licença do Órgão ambiental competente.
Auto de infração Lavrado conforme Decisão de primeira instância n° xxx. proc: 02029.000759/2019-18.</t>
  </si>
  <si>
    <t>Conceição do Araguaia</t>
  </si>
  <si>
    <t>EDIMAR AMORIM DA SILVA</t>
  </si>
  <si>
    <t>Ilha da Saudade, Rio Araguaia, próximo ao projeto de assentamento campo da missa (Couto Magalhães/T0).</t>
  </si>
  <si>
    <t>DES ROTINA FLORA</t>
  </si>
  <si>
    <t>48 Decreto 6514/2008.</t>
  </si>
  <si>
    <t>KUTU5MD5</t>
  </si>
  <si>
    <t>Apresentar informação falsa no sistema oficial de controle DOF, ao manter saldo virtual fictício de madeira nativa não compatível com o estoque físico no pátio da empresa.</t>
  </si>
  <si>
    <t>Pátio da empresa Colnaghi Skill Comércio de madeiras LTDA</t>
  </si>
  <si>
    <t>82 Decreto 6514; 70 1º Lei 9605; 72 Lei 9605; 3º II Decreto 6514; 3º IX Decreto 6514.</t>
  </si>
  <si>
    <t>R767ULW5</t>
  </si>
  <si>
    <t>Receber produto de origem vegetal sem licença valida para todo o tempo da viagem ou transporte.</t>
  </si>
  <si>
    <t>47 1º Decreto 6514; 47 2º Decreto 6514; 70 1º Lei 9605; 72 Lei 9605; 3º II Decreto 6514; 3º IV Decreto 6514.</t>
  </si>
  <si>
    <t>79AAAP8V</t>
  </si>
  <si>
    <t>Pescar 130 kg de camarão em período no qual a pesca esteja proibida.</t>
  </si>
  <si>
    <t>Aracruz</t>
  </si>
  <si>
    <t>ES</t>
  </si>
  <si>
    <t>MARCOS VALERIO MANHAES BARRETO</t>
  </si>
  <si>
    <t>Região costeira do Espírito Santo - mar de Aracruz</t>
  </si>
  <si>
    <t>ES/SUPES</t>
  </si>
  <si>
    <t>CAM FARFANTE III</t>
  </si>
  <si>
    <t>35 Decreto 6514; 70 1º Lei 9605; 72 Lei 9605; 3º II Decreto 6514; 3º IV Decreto 6514; 3º IX Decreto 6514.</t>
  </si>
  <si>
    <t>2, - Portaria Interministerial 47/2018.</t>
  </si>
  <si>
    <t>HI8CG92D</t>
  </si>
  <si>
    <t>Fazenda Rio Grande</t>
  </si>
  <si>
    <t>MDS MAQUINAS PARA CONSTRUCAO LTDA</t>
  </si>
  <si>
    <t>Pátio MDS</t>
  </si>
  <si>
    <t>YBCKC9A7</t>
  </si>
  <si>
    <t>RR/SUPES</t>
  </si>
  <si>
    <t>Destruir 1,5217 hectares de floresta nativa objeto especial preservação (Amazônia Legal) sem autorização ou licença da autoridade ambiental competente. Conforme mapa anexo.</t>
  </si>
  <si>
    <t>Pacaraima</t>
  </si>
  <si>
    <t>Cícero dos Santos Ferreira</t>
  </si>
  <si>
    <t>zona rural coordenadas geográficas 04° 28' 56'' N 61° 07' 19''W</t>
  </si>
  <si>
    <t>CAS ROTINA IV</t>
  </si>
  <si>
    <t>50 Decreto 6514/2008.</t>
  </si>
  <si>
    <t>LW2RVXIL</t>
  </si>
  <si>
    <t>Ter em depósito 10,727 metros cúbicos de madeira serrada em tábuas de Ipê sem licença válida para o armazenamento, outorgada pela autoridade competente.</t>
  </si>
  <si>
    <t>DIRECT TIMBER COMERCIO DE MADEIRAS LTDA</t>
  </si>
  <si>
    <t>QQYGXXI3</t>
  </si>
  <si>
    <t>Ter em depósito 175,76 metros cúbicos de madeira serrada e beneficiada de diversas espécies, conforme planilha em anexo, sem licença válida para o armazenamento, outorgada pela autoridade competente</t>
  </si>
  <si>
    <t>K21YOPOP</t>
  </si>
  <si>
    <t>Por impedir a regeneração natural de florestas e demais formas de vegetação nativa em 0,1500 hectares, considerados como área de preservação permanente do reservatório da UHE Batalha, mediante a edificação de um quiosque e área de lazer, sem autorização do órgão ambiental competente.</t>
  </si>
  <si>
    <t>Cristalina</t>
  </si>
  <si>
    <t>MARCOS ANTONIO AMORIM DOS SANTOS</t>
  </si>
  <si>
    <t>Fazenda Sete Lascas, com acesso pelo km 146+900m da BR-040, margem direita, percorrendo-se 10,5 km por estrada de terra.</t>
  </si>
  <si>
    <t>LIC ENTORNO</t>
  </si>
  <si>
    <t>48 Decreto 6514; 70 1º Lei 9605; 72 Lei 9605; 3º II Decreto 6514; 3º VII Decreto 6514.</t>
  </si>
  <si>
    <t>4, III Lei Federal 12.651/12.</t>
  </si>
  <si>
    <t>3UTDQ3A5</t>
  </si>
  <si>
    <t>Por impedir a regeneração natural de florestas e demais formas de vegetação nativa em 0,1320 hectares, considerados como área de preservação permanente da UHE Batalha, mediante a construção de um aterro, sem autorização do órgão ambiental competente.</t>
  </si>
  <si>
    <t>FLAVIO MENDES RIBEIRO</t>
  </si>
  <si>
    <t>Fazenda Casa Branca, margem direita da BR-040, km 154+800m, percorrendo 700 metros por estrada de terra.</t>
  </si>
  <si>
    <t>ZG9GVU6J</t>
  </si>
  <si>
    <t>Por impedir a regeneração natural de florestas e demais formas de vegetação nativa em 0,1200 hectares, considerados como área de preservação permanente do reservatório da UHE Batalha, mediante a construção de uma casa/rancho em alvenaria e área de lazer, sem autorização do órgão ambiental competente.</t>
  </si>
  <si>
    <t>Joel de Paiva Oliveira</t>
  </si>
  <si>
    <t>Fazenda São Camilo/Fuzil, com acesso pelo km 139+500m da BR-040, margem esquerda, percorrendo-se 15,7 km por estrada de terra.</t>
  </si>
  <si>
    <t>TCMKQMBK</t>
  </si>
  <si>
    <t>RO/SUPES</t>
  </si>
  <si>
    <t>Destruir (Desmatar) 10,163 há de floresta nativa na região amazônica, em área de reserva legal, sem autorização prévia do órgão ambiental competente.
Obs: este substituiu o auto de Infração n° 9188030-E, pelo motivo de erro no enquadramento.</t>
  </si>
  <si>
    <t>Núcleo de Conciliação Ambiental/RO 2</t>
  </si>
  <si>
    <t>Campo Novo de Rondônia</t>
  </si>
  <si>
    <t>RO</t>
  </si>
  <si>
    <t>PAULO BASALIO DE SOUZA</t>
  </si>
  <si>
    <t>Linha 04, Km 06, sentido Br. 421, PA Lagoa Azul.</t>
  </si>
  <si>
    <t>51 Decreto 6514/2008.</t>
  </si>
  <si>
    <t>CYS8QK4R</t>
  </si>
  <si>
    <t>vender 29,01 metros cúbico de madeiras serradas em desacordo com a licença outorgada  pela autoridade ambiental competente.</t>
  </si>
  <si>
    <t>MADECK MADEIREIRA DECK PRIME EXPORTACAO EIRELI - ME</t>
  </si>
  <si>
    <t>superintendência do Ibama em Mato Grosso</t>
  </si>
  <si>
    <t>54QD481O</t>
  </si>
  <si>
    <t>DEIXAR DE ATENDER AS CONDICIONANTES DAS LICENÇA DE OPERAÇÃO Nº 457/2015, VALIDADE ATÉ 14/07/2019 E LICENÇA DE OPERAÇÃO Nº 497/2015, VALIDADE ATÉ 20/07/2019, PEDIDO DE RENOVAÇÃO FORA DO PRAZO.</t>
  </si>
  <si>
    <t>Acopiara</t>
  </si>
  <si>
    <t>CERAMICA RUFINO LTDA</t>
  </si>
  <si>
    <t>RODOVIA CE 55, S/Nº, SITIO TIMBAUBINHA,  ACOPIARAO</t>
  </si>
  <si>
    <t>CAS MIGRANTES II</t>
  </si>
  <si>
    <t>3 Inc. 2 Decreto 6514/2008; 70 § 1 Lei 9605/98; 72 Lei 9605/98.</t>
  </si>
  <si>
    <t>3º, 66, II DECRETO FEDERAL Nº 6514/07.</t>
  </si>
  <si>
    <t>C9Y6ABMF</t>
  </si>
  <si>
    <t>DESCUMPRIR EMBARGO Nº 570282/C, DANDO CONTINUIDADE A EXTRAÇÃO DE CALCARIO LAMINADO, COORDENADAS GEOGRÁFICAS 07º08'36,40 S 039º44'06,45 W</t>
  </si>
  <si>
    <t>Santana do Cariri</t>
  </si>
  <si>
    <t>JOSÉ CLAUDINEY DE AMORIM BRAULIO</t>
  </si>
  <si>
    <t>LAGOA DOS CARDOSOS, ZONA RURAL, SANTANA DO CARIRI</t>
  </si>
  <si>
    <t>3º, 79, II DECRETO FEDERAL Nº 6.514/08.</t>
  </si>
  <si>
    <t>T9MDQVS5</t>
  </si>
  <si>
    <t>Ter em depósito 61 espécimes da fauna silvestre sem autorização da autoridade ambiental competente (TCO n. xxx).</t>
  </si>
  <si>
    <t>Goiânia</t>
  </si>
  <si>
    <t>Gabriel Bernadino Gonçalves de Jesus</t>
  </si>
  <si>
    <t>Avenida Santa Maria, apto 104, bloco B 09, Residencial Parque Oeste - Bairro Goiá - Goiânia-GO.</t>
  </si>
  <si>
    <t>24 Inc. 1,3, § 3 Decreto 6514/2008.</t>
  </si>
  <si>
    <t>5U26W28D</t>
  </si>
  <si>
    <t>Ter em cativeiro 02 espécimes silvestres sem autorização do órgão ambiental competente. Os espécimes não possuíam anilhas e estavam sendo expostas na feira do Aribiri, Vila Velha/ES</t>
  </si>
  <si>
    <t>Vila Velha</t>
  </si>
  <si>
    <t>Genivaldo Geraldo Stein</t>
  </si>
  <si>
    <t>Feira do Aribiri</t>
  </si>
  <si>
    <t>24 Inc. 3, § 3 Decreto 6514/2008.</t>
  </si>
  <si>
    <t>D</t>
  </si>
  <si>
    <t>AM/SUPES</t>
  </si>
  <si>
    <t>Guardar substância nociva (Mercúrio) a saúde humana, em desacordo com as exigências estabelecidas em Lei.</t>
  </si>
  <si>
    <t>Santo Antônio do Içá</t>
  </si>
  <si>
    <t>AM</t>
  </si>
  <si>
    <t>Firmino Ramires junior</t>
  </si>
  <si>
    <t>Comunidade Puretê, Rio Puretê</t>
  </si>
  <si>
    <t>CONOF</t>
  </si>
  <si>
    <t>70 1º 72 II, IV Lei 9605/98; 3º II, IV 64 Decreto 6514/2008.</t>
  </si>
  <si>
    <t>H76CKIGU</t>
  </si>
  <si>
    <t>Deixar de atender a Notificação 12/2019-UT- Bagé-RS/SUPES-RS, no prazo estabelecido, estando devidamente cientificado pela autoridade competente.</t>
  </si>
  <si>
    <t>J. Pasetti Alves</t>
  </si>
  <si>
    <t>80 Decreto 6514; 70 1º Lei 9605; 72 Lei 9605; 3º II Decreto 6514.</t>
  </si>
  <si>
    <t>27G5LKH7</t>
  </si>
  <si>
    <t>Ter em guarda produtos (cocar de penas de araras) da fauna silvestre sem autorização da autoridade ambiental competente.</t>
  </si>
  <si>
    <t>Cruzeiro do Sul</t>
  </si>
  <si>
    <t>AC</t>
  </si>
  <si>
    <t>Isadora Bellavinha Maciel</t>
  </si>
  <si>
    <t>Aeronave Gol voo  2047</t>
  </si>
  <si>
    <t>RN/SUPES</t>
  </si>
  <si>
    <t>24 3º Decreto 6514; 70 1º Lei 9605; 72 Lei 9605; 3º II Decreto 6514; 3º IV Decreto 6514; 3º V Decreto 6514.</t>
  </si>
  <si>
    <t>HKS2AXUO</t>
  </si>
  <si>
    <t>Deixar de apresentar os relatórios anuais do Protocolo de Montreal referente aos anos de 2016/2015, 2017/2016 e 2018/2017 e do RAPP (Lei nº 6.938/1981: artigo 17-C) os relatórios da Lei 10.165/2000 no cadastro técnico federal-CTF, referentes aos anos de 2015/2014, 2016/2015, 2017/2016, 2018/2017 e 2019/2018 não foram entregues nos prazos exigidos pela legislação.</t>
  </si>
  <si>
    <t>TECNAL IND. COM. IMP. E EXP. DE EQUIPAMENTOS PARA LABORATÓRIO LTDA</t>
  </si>
  <si>
    <t>Aeroporto Internacional de Viracopos, Rodovia Santos Dumont, km-66 (Tecnal).</t>
  </si>
  <si>
    <t>72 Lei 9605/98; 70 § 1 Lei 9605/98; 3 Inc. 2 Decreto 6514/2008.</t>
  </si>
  <si>
    <t>81, - Decreto 6.514/2008.</t>
  </si>
  <si>
    <t>RQ0F7EG5</t>
  </si>
  <si>
    <t>Deixar de apresentar relatório anual do RAPP (Lei nº 6.938/1981: artigo 17- C) o relatório da Lei 10.165/2000 no cadastro técnico federal-CTF, referentes aos anos de 2018/2017 e 2019/2018 não foram entregues nos prazos exigidos pela legislação.</t>
  </si>
  <si>
    <t>VELOSO COFFEE AGROCOMERCIAL EXPORTADORA LTDA</t>
  </si>
  <si>
    <t>Aeroporto Internacional de Viracopos,Campinas/SP, Rodovia Santos Dumont, km 66 - (Veloso).</t>
  </si>
  <si>
    <t>51MYU1SS</t>
  </si>
  <si>
    <t>Deixar de apresentar relatórios anuais do RAPP (Lei nº 6.938/1981 artigo 17-C) os relatórios da Lei 10.165/2000 no cadastro técnico federal-CTF, referentes aos anos de 2015/2014, 2016/2015, 2017/2016, 2018/2017 e 2019/2018 não foram entregues nos prazos exigidos pela legislação.</t>
  </si>
  <si>
    <t>IDEAL PLAST INDÚSTRIA E COMÉRCIO DE PLÁSTICOS LTDA.</t>
  </si>
  <si>
    <t>Aeroporto Internacional de Viracopos, Rodovia Santos Dumont, km 66 - (Ideal plast).</t>
  </si>
  <si>
    <t>0X5XPVCX</t>
  </si>
  <si>
    <t>Deixar de apresentar relatórios anuais do Protocolo de Montreal e do RAPP (Lei número 6.938/1981 artigo 17- C) os relatórios da lei 10.165/2000 no cadastro técnico federal-CTF, referente ao ano de 2019/2018 não foram entregues nos prazos exigidos pela legislação.</t>
  </si>
  <si>
    <t>KOMLOG IMPORTAÇÃO LTDA</t>
  </si>
  <si>
    <t>Aeroporto Internacional de Viracopos, Rodovia Santos Dumont, km 66 -(Komlog).</t>
  </si>
  <si>
    <t>81, - Decreto 6514/2008.</t>
  </si>
  <si>
    <t>2SUXUUQ4</t>
  </si>
  <si>
    <t>Executar lavra e extração de minerais no Quilombo Mata Cavalo sem licença da autoridade ambiental competente.</t>
  </si>
  <si>
    <t>Benedito Viegas de Souza</t>
  </si>
  <si>
    <t>Quilombo Mata Cavalo, zona rural de Nossa Senhora do Livramento MT.</t>
  </si>
  <si>
    <t>YIB4E0Q2</t>
  </si>
  <si>
    <t>Transportar M3 de madeira in natura, equivalente a 506 (quinhentas e seis) lascas e 30 (trinta) esticadores da espécie florestal Aroeira, sem licença válida para todo o tempo da viagem (sem a cobertura do D.O.F.), outorgada pela autoridade competente.
OBS: O Sr. Acácio, estava fazendo o serviço de batedor da carreta TRA/C VOLVO / FH12420 - Pla: AMD: 1311</t>
  </si>
  <si>
    <t>Miranda</t>
  </si>
  <si>
    <t>MS</t>
  </si>
  <si>
    <t>Pantanal</t>
  </si>
  <si>
    <t>Acácio Dionízio Rodrigues da Cunha</t>
  </si>
  <si>
    <t>Estrada fazenda Guarujá da Serra / rodovia MS 243</t>
  </si>
  <si>
    <t>MS/SUPES</t>
  </si>
  <si>
    <t>ROTINA IV</t>
  </si>
  <si>
    <t>46, P. Único Lei 9.605/98.</t>
  </si>
  <si>
    <t>HMZN9WTV</t>
  </si>
  <si>
    <t>MA/SUPES</t>
  </si>
  <si>
    <t>TRANSPORTAR 26,019 M3 (METROS CÚBICOS) DE MADEIRA SERRADA DE ESSÊNCIAS FLORESTAIS DIVERSAS, SEM LICENÇA VÁLIDA PARA TODO O TEMPO DA VIAGEM, OUTORGADA PELA AUTORIDADE COMPETENTE.</t>
  </si>
  <si>
    <t>Imperatriz</t>
  </si>
  <si>
    <t>MA</t>
  </si>
  <si>
    <t>ALCIDES VERÍSSIMO DA FONSECA JÚNIOR</t>
  </si>
  <si>
    <t>Rodovia BR 010, Km 260 - Lagoa Verde - Imperatriz-MA - Posto da Polícia Rodoviária Federal</t>
  </si>
  <si>
    <t>DES ROTINA VI</t>
  </si>
  <si>
    <t>DB96UWML</t>
  </si>
  <si>
    <t>Transportar 11,031 M3 de madeira in natura, equivalente a 506 (quinhentas e seis)
 lascas e 30 (trinta) esticadores da espécie florestal Aroeira, sem licença válida para todo o tempo da viagem (sem a cobertura do D.O.F.), outorgada pela autoridade competente.</t>
  </si>
  <si>
    <t>Hélio Júnior Ferreira do Nascimento.</t>
  </si>
  <si>
    <t>46, P.Único Lei 9.605/98.</t>
  </si>
  <si>
    <t>J5IUAWYP</t>
  </si>
  <si>
    <t>Executar lavra e extração de minerais no interior do Quilombo Mata Cavalo, sem a competente permissão da autoridade ambiental competente.</t>
  </si>
  <si>
    <t>Vanderlei Elias da Silva</t>
  </si>
  <si>
    <t>Quilombo Mata Cavalo, antiga sede da Tetron</t>
  </si>
  <si>
    <t>43WVPSGP</t>
  </si>
  <si>
    <t>Deixar de apresentar relatório anual do RAPP (Lei número 6.938/1981: artigo 17- C) e o relatório da lei 10165/2000 no cadastro técnico federal-CTF, referente ao ano de 2019/2018 não foi entregue no prazo exigido pela legislação.</t>
  </si>
  <si>
    <t>HI-LEX DO BRASIL LTDA.</t>
  </si>
  <si>
    <t>Aeroporto Internacional de Viracopos Campinas/SP, rodovia Santos Dumont, km 66.</t>
  </si>
  <si>
    <t>OPERAÇÃO COMEX</t>
  </si>
  <si>
    <t>81 Decreto 6514/2008; 70 § 1 Lei 9605/98; 72 Lei 9605/98.</t>
  </si>
  <si>
    <t>AOA1JSMP</t>
  </si>
  <si>
    <t>Ter em depósito 30,7603m3 de decking da essência Ipê, sem licença válida para todo o tempo do armazenamento, outorgada pela autoridade competente.</t>
  </si>
  <si>
    <t>4A IMPORTADORA EXPORTADORA EIRELI</t>
  </si>
  <si>
    <t>pátio da autuada, localizado na empresa MDS (espaço alugado).</t>
  </si>
  <si>
    <t>ROTINA PARANAGUA</t>
  </si>
  <si>
    <t>ESW4ZBC2</t>
  </si>
  <si>
    <t>Apresentar informação enganosa em sistema oficial de controle (SISDOF) ao acusar recebimento da GF 345.</t>
  </si>
  <si>
    <t>Lagarto</t>
  </si>
  <si>
    <t>SE</t>
  </si>
  <si>
    <t>JOSE WELINTON SOUZA PASSOS</t>
  </si>
  <si>
    <t>Pátio da empresa Comércio de Madeiras PGM LTDA (Lagarto-4)</t>
  </si>
  <si>
    <t>SE/SUPES</t>
  </si>
  <si>
    <t>SER MANILKARA</t>
  </si>
  <si>
    <t>48, único IN 21/2014; 51, - IN 21/2014.</t>
  </si>
  <si>
    <t>URQCPL5S</t>
  </si>
  <si>
    <t>Ter em depósito 69,080 m3 de madeira serrada, se licença do armazenamento, outorgada pela autoridade competente.</t>
  </si>
  <si>
    <t>Rorainópolis</t>
  </si>
  <si>
    <t>B.M.S COMERCIO DE MADEIRAS SERRADAS EM GERAL LTDA-ME</t>
  </si>
  <si>
    <t>Rodovia BR 174 KM 215 Zona Rural.</t>
  </si>
  <si>
    <t>3 Inc. 2,4 Decreto 6514/2008; 70 § 1 Lei 9605/98; 72 Lei 9605/98.</t>
  </si>
  <si>
    <t>47, parágrafo 1° 6.514/08.</t>
  </si>
  <si>
    <t>HPZDWD3L</t>
  </si>
  <si>
    <t>Apresentar informação enganosa em sistema oficial de controle (SISDOF) na emissão dos Documentos de Origem Florestal - DOF n. 14844013 e 14987927.</t>
  </si>
  <si>
    <t>Pátio da empresa Comércio de Madeiras PGM LTDA (Lagarto - 2 )</t>
  </si>
  <si>
    <t>35, 1 IN 21/2014.</t>
  </si>
  <si>
    <t>9TTA4P5U</t>
  </si>
  <si>
    <t>Apresentar informação falsa no sistema oficial de controle (Saldo volumétrico de Produto florestal no Sistema DOF, sem produto correspondente no estoque Real da empresa), 716,608 m3 de madeira em toras e 34,780 m3 de madeira serrada.</t>
  </si>
  <si>
    <t>82, caput 6.514/08.</t>
  </si>
  <si>
    <t>9Z68D3RB</t>
  </si>
  <si>
    <t>MONTES_CLAROS/UNID_TEC</t>
  </si>
  <si>
    <t>Fornecer dados fraudados em sistema informatizado de controle de fauna - SisPass, referente ao nascimento de 10 (dez) espécimes da fauna silvestre nativa, conforme informação xxx.</t>
  </si>
  <si>
    <t>Turmalina</t>
  </si>
  <si>
    <t>GILVAN XAVIER DOS SANTOS</t>
  </si>
  <si>
    <t>Rua Jequitibá 853, bairro Nova Turmalina.</t>
  </si>
  <si>
    <t>ROTINA MOC X</t>
  </si>
  <si>
    <t>31 § único Decreto 6514/2008.</t>
  </si>
  <si>
    <t>4CPASLAR</t>
  </si>
  <si>
    <t>Introduzir espécime animal silvestre exótico no país sem licença expedida pela autoridade ambiental competente.( manutenção continuada).</t>
  </si>
  <si>
    <t>Catanduva</t>
  </si>
  <si>
    <t>ANELINO DE JESUS ROCHA</t>
  </si>
  <si>
    <t>residência do autuado</t>
  </si>
  <si>
    <t>25 § 1 Decreto 6514/2008.</t>
  </si>
  <si>
    <t>NANMCXQF</t>
  </si>
  <si>
    <t>Receber para fins comerciais 33,0500 m3 de madeira serrada sem licença válida outorgada pela autoridade competente, através da GF 345.</t>
  </si>
  <si>
    <t>Sede da empresa Comércio de Madeiras PGM LTDA (Lagarto-3)</t>
  </si>
  <si>
    <t>47 Decreto 6514; 70 1º Lei 9605; 72 Lei 9605; 3º II Decreto 6514.</t>
  </si>
  <si>
    <t>48, único IN 21/2014.</t>
  </si>
  <si>
    <t>C7MN4MP5</t>
  </si>
  <si>
    <t>Inserir informação falsa ou enganosa em sistemas oficiais de controle de passeriformes ao realizar troca de mãe sem que houvesse comprovação de óbito, fuga, furto ou roubo.</t>
  </si>
  <si>
    <t>São Paulo</t>
  </si>
  <si>
    <t>EURICO BRINDO DA CRUZ</t>
  </si>
  <si>
    <t>Rua Serrana, 735</t>
  </si>
  <si>
    <t>ZEO6L3UD</t>
  </si>
  <si>
    <t>Vender 17,164 m3 de produtos florestais (sendo 2 m3 de caibro de Goupia glabra, 1,633 m3 de caibro de Manilkara huberi, 0,01 m3 de caibro de Sterculia alata, 1,2 m3 de caibro de Tachigali paniculata, 0,694 m3 de viga de Eschweilera ssp., 2 m3 de viga de Hymenaea courbaril, 9,627 m3 de viga de Manilkara huberi) sem licença válida outorgada pela autoridade competente.</t>
  </si>
  <si>
    <t>Pátio da empresa Comércio de Madeiras PGM LTDA (Lagarto)</t>
  </si>
  <si>
    <t>47 1º Decreto 6514; 70 1º Lei 9605; 72 Lei 9605; 3º II Decreto 6514.</t>
  </si>
  <si>
    <t>41, - IN 21/2014.</t>
  </si>
  <si>
    <t>CB2UKGGG</t>
  </si>
  <si>
    <t>Inserir informação falsa ou enganosa em sistemas oficiais de controle de passeriformes ao realizar operação de troca de mãe sem comprovação de óbito, fuga, furto ou roubo.</t>
  </si>
  <si>
    <t>ADRIANO ARCANJO DA SILVA</t>
  </si>
  <si>
    <t>Rua Fausto de Gounod, 12</t>
  </si>
  <si>
    <t>ITHLN8SE</t>
  </si>
  <si>
    <t>Ter em depósito 6,43 m3 de madeira serrada de Pinheiro (Araucaria angustifolia), sem cobertura de créditos de origem legal no Sistema DOF.</t>
  </si>
  <si>
    <t>Salto Veloso</t>
  </si>
  <si>
    <t>GELUGO INDUSTRIA E COMERCIO DE ESQUADRIAS LTDA</t>
  </si>
  <si>
    <t>Cidade de SALTO VELOSO - SC</t>
  </si>
  <si>
    <t>ROTINA_CHAPECÓ2</t>
  </si>
  <si>
    <t>47 § 1,2,4 Decreto 6514/2008; 60 Inc. 2 Decreto 6514/2008.</t>
  </si>
  <si>
    <t>31, 1° IN IBAMA 21/2014.</t>
  </si>
  <si>
    <t>KQ1ECLG3</t>
  </si>
  <si>
    <t>BA/SUPES</t>
  </si>
  <si>
    <t>Danificar floresta ou qualquer tipo de vegetação nativa, objeto de especial preservação, em 9,7182 hectares, sem autorização do órgão competente.</t>
  </si>
  <si>
    <t>Núcleo de Conciliação Ambiental/BA</t>
  </si>
  <si>
    <t>Mucugê</t>
  </si>
  <si>
    <t>BA</t>
  </si>
  <si>
    <t>AGROINDUSTRIAL F2I LTDA</t>
  </si>
  <si>
    <t>Fazenda Cascavel e Ibicoara II, zonal rural de Mucugê/ BA.</t>
  </si>
  <si>
    <t>QUEI APOENA II</t>
  </si>
  <si>
    <t>50 § 2 Decreto 6514/2008; 60 Inc. 1 Decreto 6514/2008.</t>
  </si>
  <si>
    <t>11, d Lei 11428/2006.</t>
  </si>
  <si>
    <t>XZ15LUMK</t>
  </si>
  <si>
    <t>Desmatar a corte raso 14 hectares de vegetação nativa do Bioma Mata Atlântica, objeto de especial preservação, sem autorização da autoridade ambiental competente, nas coordenadas de referência 10°34'48'S e 36°47'49"W.</t>
  </si>
  <si>
    <t>Japaratuba</t>
  </si>
  <si>
    <t>CANDIDO MARIO GUIMARAES PINHEIRO</t>
  </si>
  <si>
    <t>Fazenda Papagaio</t>
  </si>
  <si>
    <t>DES MATA VIVA</t>
  </si>
  <si>
    <t>50 2º Decreto 6514; 70 1º Lei 9605; 72 Lei 9605; 3º II Decreto 6514; 3º VII Decreto 6514.</t>
  </si>
  <si>
    <t>GZAAQFJ6</t>
  </si>
  <si>
    <t>Desmatar a corte raso 13 hectares de vegetação nativa do bioma Mata Atlântica, objetivo de especial preservação, sem autorização da autoridade ambiental competente, nas coordenadas de referência (10°25'01,03"S e 37°19'28,33"W; 10°25'42,3" S e 37°10'22,85" W).</t>
  </si>
  <si>
    <t>Nossa Senhora das Dores</t>
  </si>
  <si>
    <t>USINA VASSOURAS SA</t>
  </si>
  <si>
    <t>Fazenda Tábua</t>
  </si>
  <si>
    <t>50 § 2 Decreto 6514/2008.</t>
  </si>
  <si>
    <t>EBEK1R6P</t>
  </si>
  <si>
    <t>Desmatar 10,627 hectares de floresta nativa na região amazônica em area de reserva legal sem autorização prévia do órgão ambiental competente conforme carta imagem anexa.</t>
  </si>
  <si>
    <t>Porto Velho</t>
  </si>
  <si>
    <t>ADÃO MANOEL DASILVA</t>
  </si>
  <si>
    <t>Linha do Ferrugem km 02 Distrito de União Bandeirantes</t>
  </si>
  <si>
    <t>3 Inc. 2,7 Decreto 6514/2008; 70 § 1 Lei 9605/98; 72 Lei 9605/98.</t>
  </si>
  <si>
    <t>Excluído</t>
  </si>
  <si>
    <t>7Z9QTQ7B</t>
  </si>
  <si>
    <t>Desmatar a corte raso 13 hectares de vegetação nativa do bioma Mata Atlântica, objetivo de especial preservação, sem autorização da autoridade ambiental competente, nas coordenadas de referência (10°25'01.03"S e 37°19'28,33"W e 10°25'42,3"S e 37°10'22,85"W).</t>
  </si>
  <si>
    <t>Fazenda Tabua</t>
  </si>
  <si>
    <t>AGVBO2SR</t>
  </si>
  <si>
    <t>COMERCIO DE MADEIRAS PGM LTDA - ME</t>
  </si>
  <si>
    <t>Sede da empresa Comércio de Madeira PGM LTDA</t>
  </si>
  <si>
    <t>S5DEKN2R</t>
  </si>
  <si>
    <t>Deixar de manter registro de acervo faunístico e movimentação de plantel em sistema informatizado de controle de fauna - SISPASS, referente ao óbito do espécime de Saltator similis (trinca-ferro) anilha IBAMA OA 3,5 172295.</t>
  </si>
  <si>
    <t>Betim</t>
  </si>
  <si>
    <t>Infração da Fauna não classificada - Advertência</t>
  </si>
  <si>
    <t>GERALDO GOMES DE OLIVEIRA</t>
  </si>
  <si>
    <t>Rua São Gonçalo, n° 272 - Presidente Kennedy - Betim/MG - CEP 32.534-020</t>
  </si>
  <si>
    <t>31 Decreto 6514; 70 1º Lei 9605; 72 Lei 9605; 3º I Decreto 6514.</t>
  </si>
  <si>
    <t>WBJTDXZR</t>
  </si>
  <si>
    <t>Pescar em local no qual a pesca seja proibida, a menos de 12 milhas náuticas da costa, utilizando a embarcação SANTA PAULINA GH (PRIMICIA III), inscrição MB 443-008491-2, RGP: SC-0003841-9, no cruzeiro de pesca realizado entre os dias 08a19DEZ19.</t>
  </si>
  <si>
    <t>Palmares do Sul</t>
  </si>
  <si>
    <t>ALEXANDRE MAFRA</t>
  </si>
  <si>
    <t>Zona costeira do litoral norte do RS.</t>
  </si>
  <si>
    <t>35 Decreto 6514/2008.</t>
  </si>
  <si>
    <t>30, e Lei/RS 15.223/18.</t>
  </si>
  <si>
    <t>WBXZIYUC</t>
  </si>
  <si>
    <t>Ter em cativeiro 3 (três) aves da fauna silvestre nativa sem autorização da autoridade ambiental competente, sendo a espécie Aratinga leucophthalmus (Maritaca) constante de lista de espécies de fauna ameaçadas de extinção (IN MMA 1/2017).</t>
  </si>
  <si>
    <t>Minas Novas</t>
  </si>
  <si>
    <t>Valdine Alves da Silva</t>
  </si>
  <si>
    <t>Distrito Pinheiro/Curralinho - Minas Novas/MG</t>
  </si>
  <si>
    <t>24 Inc. 2,3 Decreto 6514/2008.</t>
  </si>
  <si>
    <t>E6C7WHW3</t>
  </si>
  <si>
    <t>Ter em depósito 68.495 m3 de madeira serrada de diversas espécies e bitolas, conforme apresentado no relatório de fiscalização, sem licença válida para o armazenamento.
Conforme apresentado no relatório de fiscalização, a madeira irregular não foi apreendida até o presente momento, em razão do autuado ter se negado a separar a matéria prima em desconformidade.</t>
  </si>
  <si>
    <t>Alpamad Export</t>
  </si>
  <si>
    <t>Y4HOPRXR</t>
  </si>
  <si>
    <t>Pescar em local no qual a pesca seja proibida, a menos de 12 milhas náuticas da costa do RS, com a embarcação SANTA PAULINA GH (PRIMICIA III), inscrição MB 443-008491-2, RGP: SC-0003841-9, no cruzeiro de pesca realizado entre os dias 22OUT-07NOV19.</t>
  </si>
  <si>
    <t>9L7Q5CCZ</t>
  </si>
  <si>
    <t>Pescar em local no qual a pesca seja proibida, a menos de 12 milhas náuticas da costa do RS, com a embarcação SANTA PAULINA GH (PRIMICIA III), inscrição MB 443-008491-2, RGP: SC-0003841-9, no cruzeiro de pesca realizado entre os dias 10a29NOV19.</t>
  </si>
  <si>
    <t>Mostardas</t>
  </si>
  <si>
    <t>YGQA9G4G</t>
  </si>
  <si>
    <t>Pescar em local no qual a pesca seja proibida, a menos de 12 milhas náuticas da costa, utilizando a embarcação SANTA PAULINA GH (PRIMICIA III), inscrição MB 443-008491-2, RGP: SC-0003841-9, no cruzeiro de pesca realizado entre os dias 02a07DEZ19.</t>
  </si>
  <si>
    <t>PSLMTUHO</t>
  </si>
  <si>
    <t>Pescar em local no qual a pesca seja proibida, a menos de 12 milhas náuticas da costa do RS, com a embarcação de pesca DIEGO J, inscrição MB 443-011677-6, RGP: SC-0000949-8, no cruzeiro de pesca realizado entre os dias 15OUT-14NOV19.</t>
  </si>
  <si>
    <t>Arroio do Sal</t>
  </si>
  <si>
    <t>JOSE CARLOS DA SILVA</t>
  </si>
  <si>
    <t>30, e Lei RS 15.223/18.</t>
  </si>
  <si>
    <t>7SZQ52Z7</t>
  </si>
  <si>
    <t>Deixar de atender as exigências regulamentares quando devidamente notificado pela autoridade ambiental competente, no prazo concedido, referente a Notificação nº 690439/E.</t>
  </si>
  <si>
    <t>Irauçuba</t>
  </si>
  <si>
    <t>MINERAÇÃO SANTA ROSA LTDA</t>
  </si>
  <si>
    <t>Fazenda Santa Rosa</t>
  </si>
  <si>
    <t>2I4IHBZQ</t>
  </si>
  <si>
    <t>Destruir 3,0141 hectares de vegetação nativa campestre do bioma Pampa em área de preservação permanente, sem autorização do órgão competente.</t>
  </si>
  <si>
    <t>Bossoroca</t>
  </si>
  <si>
    <t>LEANDRO CHITOLINA</t>
  </si>
  <si>
    <t>Rincão dos Fabrícios</t>
  </si>
  <si>
    <t>DES CAMPEREADA</t>
  </si>
  <si>
    <t>43 Decreto 6514/2008.</t>
  </si>
  <si>
    <t>BGAQYR1H</t>
  </si>
  <si>
    <t>Vender para o exterior 17,1250 m³ de Ipê, serrado em decking, sem licença valida da autoridade competente, Autorização de exportação do IBAMA, no local de exportação.</t>
  </si>
  <si>
    <t>Wizi Industria e comércio e exportação de madeiras EIRELI.</t>
  </si>
  <si>
    <t>Travessa Lonas Valentinas,907.</t>
  </si>
  <si>
    <t>2º, caput Instrução Normativa IBAMA número 15/2011.</t>
  </si>
  <si>
    <t>7OV4F4CE</t>
  </si>
  <si>
    <t>Deixar de atender a condicionante específica 2.5 da Renovação de Licença de Operação RLO n° 1090/2012, deixando de implementar o Plano de Emergência Individual aprovado-PEI, conforme Parecer Técnico n° xxx.</t>
  </si>
  <si>
    <t>Vitória</t>
  </si>
  <si>
    <t>Plataforma P-58</t>
  </si>
  <si>
    <t>LIC FORÇA TAREFA 2019 - V</t>
  </si>
  <si>
    <t>66 Decreto 6514; 70 1º Lei 9605; 72 Lei 9605; 3º II Decreto 6514.</t>
  </si>
  <si>
    <t>66, parágrafo único, II Decreto n° 6.514/2008.</t>
  </si>
  <si>
    <t>YORFYR0P</t>
  </si>
  <si>
    <t>Destruir 11,7407 hectares de vegetação nativa campestre do bioma Pampa em área de preservação permanente, sem autorização do órgão competente.</t>
  </si>
  <si>
    <t>9YKDLR9U</t>
  </si>
  <si>
    <t>Omitir informações no sistema oficial de controle em relação aos residuos sólidos gerador período de 2014 a 2018.</t>
  </si>
  <si>
    <t>Campina Grande</t>
  </si>
  <si>
    <t>PB</t>
  </si>
  <si>
    <t>D.J Combustíveis Ltda</t>
  </si>
  <si>
    <t>R. Francisco Lopes de Almeida, 1665</t>
  </si>
  <si>
    <t>PB/SUPES</t>
  </si>
  <si>
    <t>CTF CLIQUE</t>
  </si>
  <si>
    <t>VHBTYK6A</t>
  </si>
  <si>
    <t>Guardar 0,642 metros cúbicos de madeira nativa serrada Decking da espécie "Tabebuia serratifolia" - Ipê, sem munir-se de licença válida para todo o tempo do armazenamento  (Documento de Origem Florestal - DOF), outorgada pela autoridade competente.</t>
  </si>
  <si>
    <t>Itajaí</t>
  </si>
  <si>
    <t>Rua Franncisco Reis, 1205, Bairro Cordeiros, Município de Itajaí - SC</t>
  </si>
  <si>
    <t>31, . Instrução Normativa IBAMA 21/2014..</t>
  </si>
  <si>
    <t>YNY8EAIY</t>
  </si>
  <si>
    <t>Pescar em local no qual a pesca seja proibida, a menos de 12 milhas náuticas da costa do RS, com a embarcação de pesca ALEXANDRE NETO, inscrição MB 421-552904-2, RGP: PR-0025810-5, no cruzeiro de pesca realizado entre os dias 21OUT-08NOV19.</t>
  </si>
  <si>
    <t>Torres</t>
  </si>
  <si>
    <t>ALEXANDRE JOAO LOPES</t>
  </si>
  <si>
    <t>30, e Lei/RS 15.223/2018.</t>
  </si>
  <si>
    <t>MRBYSWV4</t>
  </si>
  <si>
    <t>Pescar em local no qual a pesca seja proibida, a menos de 12 milhas náuticas da costa do RS, com a embarcação de pesca VENCEDOR VI, inscrição MB 421-023344-7, RGP: PR-0003866-7, no cruzeiro de pesca realizado entre os dias 21OUT-16NOV19.</t>
  </si>
  <si>
    <t>30, e Lei/RS 15223/2018.</t>
  </si>
  <si>
    <t>FFA98ERS</t>
  </si>
  <si>
    <t>Cortar árvores em área considerada de preservação permanente ou cuja espécie seja especialmente protegida, sem permissão da autoridade competente (158,47 m3 de todas de araucárias), conforme Parecer Técnico n° xxx.</t>
  </si>
  <si>
    <t>Canoinhas</t>
  </si>
  <si>
    <t>ATE IV - SÃO MATEUS TRANSMISSORA DE ENERGIA S.A</t>
  </si>
  <si>
    <t>LT 230 kV Canoinhas - São Mateus</t>
  </si>
  <si>
    <t>44 Decreto 6514; 70 1º Lei 9605; 72 Lei 9605; 3º II Decreto 6514.</t>
  </si>
  <si>
    <t>S0MH9AYY</t>
  </si>
  <si>
    <t>Deixar de atender as condicionantes 2.11, 2.12 e 2.13 da Licença de Operação n° 1047/2011, conforme Parecer Técnico n° xxx.</t>
  </si>
  <si>
    <t>LT 230 Canoinhas - São Mateus</t>
  </si>
  <si>
    <t>UW624AJY</t>
  </si>
  <si>
    <t>Pescar em local no qual a pesca seja proibida, a menos de 12 milhas náuticas da costa do RS, com a embarcação de pesca REI DA GALILEIA VI, inscrição MB n. 443-013837-1, RGP: SC-0003845-7, no cruzeiro de pesca realizado entre os dias 22a26NOV19.</t>
  </si>
  <si>
    <t>Balneário Pinhal</t>
  </si>
  <si>
    <t>JOÃO CARLOS INACIO</t>
  </si>
  <si>
    <t>Zona costeira do litoral norte do RS</t>
  </si>
  <si>
    <t>Z1CH4C9I</t>
  </si>
  <si>
    <t>Transportar 23 espécimes da fauna nativa (1 tartaruga da Amazônia e 22 ovos da mesma espécie), sem autorização da autoridade ambiental competente.</t>
  </si>
  <si>
    <t>Óbidos</t>
  </si>
  <si>
    <t>Emoreda de Navegação AR Transportes LTDA</t>
  </si>
  <si>
    <t>Porto da CDP</t>
  </si>
  <si>
    <t>STM/GEREX</t>
  </si>
  <si>
    <t>DEF RIOS FEDERAIS STM</t>
  </si>
  <si>
    <t>24 3º II Decreto 6514; 24 3º III Decreto 6514; 70 1º Lei 9605; 72 Lei 9605; 3º II Decreto 6514; 3º IV Decreto 6514; 3º V Decreto 6514.</t>
  </si>
  <si>
    <t>JJ1O5ZW8</t>
  </si>
  <si>
    <t>Omitir informações no sistema oficial de controle CTF/IBAMA em relação aos residuos sólidos gerador, período de 2014 a 2018.</t>
  </si>
  <si>
    <t>POSTO NOBERTO LTDA</t>
  </si>
  <si>
    <t>R. Engenheiro Lourival de Andrade 1001 Bodocongo</t>
  </si>
  <si>
    <t>70I1W7EJ</t>
  </si>
  <si>
    <t>Efetuar a plataforma SS-88-Beta, no dia 28/08/2019, de acordo com a comunicação inicial do incidente (POÇOS/SM-0154/2019), a descarga de 0,028 metros cúbicos de fluído sintético de perfuração em desacordo com a legislação e com o autorizado no processo de licenciamento.</t>
  </si>
  <si>
    <t>9 c/c 36, III, §1° e §2° Decreto Federal 4136/02.</t>
  </si>
  <si>
    <t>JG59JR0P</t>
  </si>
  <si>
    <t>Efetuar a embarcação RSV Far Saga, no dia 23/10/2019, de acordo com a comunicação inicial do incidente e RAIPO (SUB/OPSUB-0150/2019 retificado), a descarga de 0,000193 metros cúbicos de fluído hidráulico Nuto H32 em desacordo com a legislação e com o autorizado no processo de licenciamento.</t>
  </si>
  <si>
    <t>9c/c 36, III, §1° e §2° Decreto Federal 4136/02.</t>
  </si>
  <si>
    <t>BS1YTB7X</t>
  </si>
  <si>
    <t>Efetuar a plataforma P-18, no dia 01/10/2019, de acordo com a comunicação inicial do incidente e RAIPO (UO-BC-0357/2019), a descarga de 0,000007 metros cúbicos de petróleo em desacordo com a legislação e com o autorizado no processo de licenciamento.</t>
  </si>
  <si>
    <t>WB7YBKZM</t>
  </si>
  <si>
    <t>Efetuar a embarcação RSV Far Saga, no dia 08/10/2019, de acordo com a comunicação inicial do incidente e RAIPO  (SUB/OPSUB-0141/2019), a descarga de 0,001 metros cúbicos de fluído hidráulico Nuto H32 em desacordo com a legislação e com o autorizado no processo de licenciamento.</t>
  </si>
  <si>
    <t>22RHLCRJ</t>
  </si>
  <si>
    <t>Efetuar a plataforma PPG-1A, no dia 07/08/2019, de acordo com a comunicação inicial do incidente e RAIPO (UO-BC-0287/2019), a descarga de 0,0001 metros cúbicos de petróleo em desacordo com a legislação e com o autorizado no processo de licenciamento.</t>
  </si>
  <si>
    <t>YMNNOAH1</t>
  </si>
  <si>
    <t>Impedir a regeneração natural de área de 36,50 hectares de vegetação nativa na área embargada indicada pela autoridade competente no TEI nº 648553-E, datado de 27/11/2014 (Processo 02018.002538/2014-07).</t>
  </si>
  <si>
    <t>Rondon do Pará</t>
  </si>
  <si>
    <t>WLADIMIR DOS SANTOS TEREZA</t>
  </si>
  <si>
    <t>Margem direita da BR 222, Vicinal Jacu, Zona Rural</t>
  </si>
  <si>
    <t>W3CY2JVL</t>
  </si>
  <si>
    <t>Efetuar a plataforma P-12, no dia 06/08/2019, de acordo com a comunicação inicial do incidente e RAIPO (UO-BC-0285/2019), a descarga de 0,00004 metros cúbicos de óleo diesel em desacordo com a legislação e com o autorizado no processo de licenciamento.</t>
  </si>
  <si>
    <t>O37RBSZC</t>
  </si>
  <si>
    <t>Descumprir embargo de área de 36,50 hectares, parte embargada no TEI nº 648553-E, datado de 27/11/2014 (Processo 02018.002538/2014-07), com implantação de lavoura de grãos na agricultura.</t>
  </si>
  <si>
    <t>79 Decreto 6514; 70 1º Lei 9605; 72 Lei 9605; 3º II Decreto 6514.</t>
  </si>
  <si>
    <t>35L2WV1T</t>
  </si>
  <si>
    <t>Transportar nós veículos de placa MXG-3100, MWR-6859, MWT-6567, MXF-2226, MWO-8662, MWX-3035 e MWO-8842, um total de 78,1021 metros cúbicos de madeira serrada, designando irregularmente 35,6795 metros cúbicos desse volume como sendo rolete, estando em desacordo com as licenças emitidas através de 05 DOFs (Documentos de Origem Florestal) n. de série 12140805, 13613493, 13613479, 12780833 e 12780937, conforme documentação anexada ao processo administrativo.</t>
  </si>
  <si>
    <t>Macapá</t>
  </si>
  <si>
    <t>AP</t>
  </si>
  <si>
    <t>ALLA TRANSPORTES LTDA</t>
  </si>
  <si>
    <t>Ação de fiscalização de Sistema DOF, ocorrida na Superintendência do IBAMA no Amapá, Rua Hamilton Silva 1570, Santa Rita, Macapá/AP.</t>
  </si>
  <si>
    <t>AP/SUPES</t>
  </si>
  <si>
    <t>47 1º Decreto 6514; 47 3º Decreto 6514; 70 1º Lei 9605; 72 Lei 9605; 3º II Decreto 6514; 3º IX Decreto 6514.</t>
  </si>
  <si>
    <t>48, Par. Único c/ Anexo III IN IBAMA 21/2014.</t>
  </si>
  <si>
    <t>5Z8Y496Q</t>
  </si>
  <si>
    <t>Transportar espécies (Surubim) provenientes de pesca proibida.</t>
  </si>
  <si>
    <t>Tabatinga</t>
  </si>
  <si>
    <t>W DIAS GUTIERREZ</t>
  </si>
  <si>
    <t>Base Anzol - Policia Federal</t>
  </si>
  <si>
    <t>MOTA II</t>
  </si>
  <si>
    <t>35 Inc. 3 Decreto 6514/2008.</t>
  </si>
  <si>
    <t>Anexo I, Item 1, alínea c), Anexo II, Item 1, alínea c) Instrução Normativa IBAMA n° 48/2007; 1°, Caput Resolução CEMAAM N° 18 de2014.</t>
  </si>
  <si>
    <t>48O270AJ</t>
  </si>
  <si>
    <t>Inserir informação falsa ou enganosa em sistemas oficiais de controle de passeriformes ao declarar nascimento de passeriformes sem que de fato ocorresse, estando a anilha declarada em poder do Ibama.</t>
  </si>
  <si>
    <t>JOSÉ AGLEZIO MARCELINO DE ALENCAR</t>
  </si>
  <si>
    <t>Rua Nascimento Silva, 87</t>
  </si>
  <si>
    <t>48OTL7K7</t>
  </si>
  <si>
    <t>Efetuar a plataforma P-53, no dia 10/08/2019, de acordo com a comunicação inicial do incidente (UO-RIO-0385/2019), a descarga de 0,0001 metros cúbicos de petróleo em desacordo com a legislação e com o autorizado no processo de licenciamento.</t>
  </si>
  <si>
    <t>BEY2JU21</t>
  </si>
  <si>
    <t>Praticar ato de maus-tratos a 02 (dois) espécimes de Pantherophis guttatus (corn snake), animais da fauna silvestre exótica, conforme objeto postal DY731538394BR, enviado pelos Correios em 01/02/2018 e apreendido pelo IBAMA em 05/02/2018.</t>
  </si>
  <si>
    <t>Ipatinga</t>
  </si>
  <si>
    <t>RODRIGO SOUZA FERNANDES RANGEL</t>
  </si>
  <si>
    <t>Rua Rio São Francisco, n° 575 - Parque das Águas - Ipatinga/MG - CEP 35.164-413</t>
  </si>
  <si>
    <t>29 Decreto 6514; 70 1º Lei 9605; 72 Lei 9605; 3º II Decreto 6514.</t>
  </si>
  <si>
    <t>VXG171R1</t>
  </si>
  <si>
    <t>Praticar ato de maus-tratos a 02 (dois) espécimes de Iguana iguana, animais da fauna silvestre nativa, conforme objeto postal DY731538377BR, enviado pelos Correios em 01/02/2018 e apreendido pelo IBAMA em 05/02/2018.</t>
  </si>
  <si>
    <t>Rua Rio São Francisco, n° 574 - Parque das Águas - Ipatinga/MG - CEP 35.164-413</t>
  </si>
  <si>
    <t>CG3174LO</t>
  </si>
  <si>
    <t>Praticar ato de maus-tratos a 02 (dois) espécimes de Iguana iguana, animais da fauna silvestre nativa, conforme objeto postal DY731538385BR, enviado pelos Correios em 01/02/2018 e apreendido pelo IBAMA em 05/02/2018.</t>
  </si>
  <si>
    <t>T60PVI7C</t>
  </si>
  <si>
    <t>Inserir informação falsa ou enganosa em sistemas oficiais de controle de passeriformes ao declarar nascimento de passeriformes em data diversa do informado em requerimento de anilhas.</t>
  </si>
  <si>
    <t>Pirapora do Bom Jesus</t>
  </si>
  <si>
    <t>RAFAEL THEODORO DE SANTANA</t>
  </si>
  <si>
    <t>Rua São Benedito 57</t>
  </si>
  <si>
    <t>3LZISCVP</t>
  </si>
  <si>
    <t>Praticar ato de maus-tratos a 01 (um) espécime de Pantherophis guttatus (corn snake), animal da fauna silvestre exótica, conforme objeto postal DY731538346BR, enviado pelos Correios em 01/02/2018 e apreendido pelo IBAMA em 05/02/2018.</t>
  </si>
  <si>
    <t>VCDKE3Q3</t>
  </si>
  <si>
    <t>Praticar ato de maus-tratos a 01 (um) espécime de Pogona sp. (lagarto pogona), animal da fauna silvestre exótica, conforme objeto postal DY731538363BR, enviado pelos Correios em 01/02/2018 e apreendido pelo IBAMA em 05/02/2018.</t>
  </si>
  <si>
    <t>FKR3153K</t>
  </si>
  <si>
    <t>Deixar de atender as condicionantes 2.3, 2.11 e 2.13 da Renovação da Licença de Operação - RLO n° 441/2005, conforme pareceres técnicos xxx, xxx e xxx.</t>
  </si>
  <si>
    <t>Novo Gama</t>
  </si>
  <si>
    <t>CELG DISTRIBUIÇÃO S/A</t>
  </si>
  <si>
    <t>Linha de Transmissão (LT) Samambaia - Rio Vermelho</t>
  </si>
  <si>
    <t>XJFH3AWJ</t>
  </si>
  <si>
    <t>Inserir informação falsa ou enganosa em sistemas oficiais de controle de passeriformes ao declarar nascimento em data diversa da contida no requerimento de anilha.</t>
  </si>
  <si>
    <t>Suzano</t>
  </si>
  <si>
    <t>AJURIMAR CARVALHO ARAGÃO</t>
  </si>
  <si>
    <t>Rua Dr. Armando de Ré, 243</t>
  </si>
  <si>
    <t>NOIB9T4E</t>
  </si>
  <si>
    <t>Vender 12,2210 m3 de produtos florestais (sendo 9,2 m3 de tábua de Dipteryx odorata, 0,021 m3 de ripas de Manilkara huberi e 3,0 m3 de sarrafo de Ocotea neesiana) sem licença outorgada pela autoridade competente (DOF).</t>
  </si>
  <si>
    <t>Itabaiana</t>
  </si>
  <si>
    <t>ROGERIA MARIA DOS SANTOS MADEIREIRA ME</t>
  </si>
  <si>
    <t>Sede da empresa Rogéria Maria dos Santos Madeireira</t>
  </si>
  <si>
    <t>XAQJBDGI</t>
  </si>
  <si>
    <t>Praticar ato de maus-tratos a 01 (um) espécime de Iguana iguana, animal da fauna silvestre nativa, e 01 (um) Pantherophis guttatus (corn shake), animal da fauna silvestre exótica, conforme objeto postal DY731538350BR, enviado pelos Correios em 01/02/2018 e apreendido pelo IBAMA em 05/02/2018.</t>
  </si>
  <si>
    <t>BUY9PU7O</t>
  </si>
  <si>
    <t>Transportar 8,75 m3 de Madeira Serrada da especie Cedro-rosa (Cedrela odorata), sem exibir a licença (Guia Florestal/DOF) outorgada pela autoridade competente.</t>
  </si>
  <si>
    <t>Dionísio Cerqueira</t>
  </si>
  <si>
    <t>SETEMBRINO MEIRELLES</t>
  </si>
  <si>
    <t>Pátio da ACI Cargas -</t>
  </si>
  <si>
    <t>Art. 60, II 6516/08.</t>
  </si>
  <si>
    <t>PGLCCYY8</t>
  </si>
  <si>
    <t>Fazer uso de fogo em área agropastoril de 8,9262 hectares sem autorização do órgão competente.</t>
  </si>
  <si>
    <t>Itaeté</t>
  </si>
  <si>
    <t>ANTÔNIO SANTOS DA SILVA</t>
  </si>
  <si>
    <t>Sítio Rio de Ouro, loc. baixão.</t>
  </si>
  <si>
    <t>58 Decreto 6514/2008.</t>
  </si>
  <si>
    <t>KB8ESHVH</t>
  </si>
  <si>
    <t>Destruir (supressão) de 82,12 hectares de vegetação nativa, situada no Bioma Pantanal, considerada objeto de especial preservação, de acordo com o Artigo 225 - § 4º da Constituição Federal, sem autorização ou licença da autoridade ambiental competente.</t>
  </si>
  <si>
    <t>Porto Murtinho</t>
  </si>
  <si>
    <t>Rodrigo Ricardo Ceni</t>
  </si>
  <si>
    <t>Fazenda Boa Sorte</t>
  </si>
  <si>
    <t>50 Decreto 6514; 70 1º Lei 9605; 72 Lei 9605; 3º II Decreto 6514; 3º VII Decreto 6514.</t>
  </si>
  <si>
    <t>PJDC2500</t>
  </si>
  <si>
    <t>Deixar de cumprir a reposição florestal referente a venda de 83,058m³ de madeira serrada Dinisia Exelsa Ducke (faveira ferro em viga), processo SEI 02010.000040/2016-33.</t>
  </si>
  <si>
    <t>Morrinhos</t>
  </si>
  <si>
    <t>BALL MATERIAIS PARA CONSTRUÇÃO LTDA</t>
  </si>
  <si>
    <t>Avenida Professor José Nascimento, número 431, Setor Oeste, Morrinhos-GO.</t>
  </si>
  <si>
    <t>53 § único Decreto 6514/2008.</t>
  </si>
  <si>
    <t>AX1Z3PKU</t>
  </si>
  <si>
    <t>Apresentar informação enganosa no sistema federal de controle de produtos florestais - Sistema DOF, referente ao saldo de madeira em tora constante no Pátio Baldeio 1 Pancada.</t>
  </si>
  <si>
    <t>Mazagão</t>
  </si>
  <si>
    <t>JORGE ALBERTO EVANGELISTA RODRIGUES.</t>
  </si>
  <si>
    <t>Pátio Baldeio 1 Pancada, P.A. Pancada do Camaipi, em frente ao lote 48T do Sr. Jorge Alberto Evangel</t>
  </si>
  <si>
    <t>SER MARAVALHA III</t>
  </si>
  <si>
    <t>MIY0G0HD</t>
  </si>
  <si>
    <t>Efetuar a plataforma FPSO CIDADE DO RIO DE JANEIRO, no dia 25/06/2019, de acordo com a comunicação inicial do incidente e RAIPO (UO-BC-0236/2019), a descarga de 0,000000041 metros cúbicos de petróleo em desacordo com a legislação e com o autorizado no processo de licenciamento.</t>
  </si>
  <si>
    <t>N07VBSB4</t>
  </si>
  <si>
    <t>Efetuar a plataforma FPSO CIDADE DO RIO DE JANEIRO, no dia 02/08/2019, de acordo com a comunicação inicial do incidente e RAIPO (UO-BC-0280/2019), a descarga de 0,00001 metros cúbicos de petróleo em desacordo com a legislação e com o autorizado no processo de licenciamento.</t>
  </si>
  <si>
    <t>FR2UXGYE</t>
  </si>
  <si>
    <t>Fazer uso de fogo em área agropastoril de 4,0494 há, sem autorização do órgão competente, contrariando a legislação em vigor.</t>
  </si>
  <si>
    <t>Gildazio Cardoso de Almeida</t>
  </si>
  <si>
    <t>Sítio Invernada / chapadinha/Rumo/Itaetê</t>
  </si>
  <si>
    <t>A86JCC1D</t>
  </si>
  <si>
    <t>DEIXAR DE APRESENTAR RELATÓRIOS DE ATIVIDADES POTENCIALMENTE POLUIDORAS, REFERENTE AOS EXERCÍCIOS 2014/2013, 2015/2014, 2016/2015, 2017/2016, 2018/2017 e 2019/2018, NO PRAZO EXIGIDO PELA LEGISLAÇÃO</t>
  </si>
  <si>
    <t>Picos</t>
  </si>
  <si>
    <t>PI</t>
  </si>
  <si>
    <t>ESDRAS JOSÉ LEAL DE SOUSA</t>
  </si>
  <si>
    <t>ESDRAS JOSÉ LEAL DE SOUSA
LUCIANO GÁS</t>
  </si>
  <si>
    <t>PI/SUPES</t>
  </si>
  <si>
    <t>81 Decreto 6514; 70 1º Lei 9605; 72 Lei 9605; 3º II Decreto 6514.</t>
  </si>
  <si>
    <t>3XN6LZ76</t>
  </si>
  <si>
    <t>Ter em cativeiro 01 espécime de Psitacídeo, Jandaia, sem autorização da autoridade ambiental competente.</t>
  </si>
  <si>
    <t>Palmiro Lucindo dos Santos</t>
  </si>
  <si>
    <t>24 II Decreto 6514; 70 1º Lei 9605; 72 Lei 9605; 3º II Decreto 6514; 3º IV Decreto 6514.</t>
  </si>
  <si>
    <t>X16S6SQR</t>
  </si>
  <si>
    <t>Deixar de atender a Condicionante 2.1 da Renovação da Licença de Operação n° 684/2007, deixando de executar o Projeto de Monitoramento Ambiental.</t>
  </si>
  <si>
    <t>Quissamã</t>
  </si>
  <si>
    <t>PETROBRAS S.A. / E&amp;P UN-RIO</t>
  </si>
  <si>
    <t>Sistema de Rebombeio Autônomo e Escoamento dos Campos de Merlim Leste, Merlim Sul e Roncador</t>
  </si>
  <si>
    <t>66 § único Decreto 6514/2008.</t>
  </si>
  <si>
    <t>SLSIXEWC</t>
  </si>
  <si>
    <t>Ter em cativeiro 15 tracajás sem autorização da autoridade ambiental competente.</t>
  </si>
  <si>
    <t>Fábio Tavares Galucio</t>
  </si>
  <si>
    <t>Delegacia de Policia Civil</t>
  </si>
  <si>
    <t>24 3º II Decreto 6514; 24 3º III Decreto 6514; 70 1º Lei 9605; 72 Lei 9605; 3º II Decreto 6514; 3º IV Decreto 6514.</t>
  </si>
  <si>
    <t>LUHH0UY0</t>
  </si>
  <si>
    <t>Ter em depósito 29,310 M3 de madeira in natura: lascas e esticadores da espécie florestal Aroeira, sem a licença válida (sem a cobertura do D.O.F.).
OBS: Foi emitida a NOTIFICAÇÃO n°682286/E, solicitando a documentação da origem da madeira, utilizada na construção de cercas na fazenda São Sebastião, porém, até a presente data, não houve a apresentação da documentação.</t>
  </si>
  <si>
    <t>Corumbá</t>
  </si>
  <si>
    <t>RODRIGO RICARDO CENI</t>
  </si>
  <si>
    <t>Fazenda São Sebastião</t>
  </si>
  <si>
    <t>PCBA0SU0</t>
  </si>
  <si>
    <t>Ter em depósito 127 unidades de xaxim nativo sem licença válida e documento que a acobertasse</t>
  </si>
  <si>
    <t>Nova Venécia</t>
  </si>
  <si>
    <t>Arildo Quartezani ME</t>
  </si>
  <si>
    <t>CENTRO</t>
  </si>
  <si>
    <t>GAR PETRA</t>
  </si>
  <si>
    <t>7JBLYAGQ</t>
  </si>
  <si>
    <t>Apresentar informação parcialmente falsa no sistema oficial de controle florestal administrativo ambiental (DOF). Conforme planilha de levantamento de estoques físicos e no Sistema DOF, realizado no âmbito da Operação GCDA P12 no Sul do Estado de Roraima.</t>
  </si>
  <si>
    <t>São Luiz</t>
  </si>
  <si>
    <t>A. J. DE OLIVEIRA COMERCIO DE MADEIRAS EIRELI - EPP</t>
  </si>
  <si>
    <t>BR 210, Km 57, lote 395</t>
  </si>
  <si>
    <t>GYMA7Q3R</t>
  </si>
  <si>
    <t>Introduzir no país 48 espécimes de camaleão mortos, 56 ratos silvestres mortos, 1 cabeça (parte) de roedor não identificado, 15 partes de cobra e 10 partes de aves sem autorização ou licença do órgão ambiental competente.</t>
  </si>
  <si>
    <t>Kolawole Ahmid Taiwo</t>
  </si>
  <si>
    <t>Terminal de Passageiros 3 do Aeroporto internacional de Guarulhos</t>
  </si>
  <si>
    <t>25 I Decreto 6514; 70 1º Lei 9605; 72 Lei 9605; 3º II Decreto 6514.</t>
  </si>
  <si>
    <t>G57RYZBZ</t>
  </si>
  <si>
    <t>Expor á venda, espécime da fauna silvestre, sem autorização da autoridade ambiental competente.</t>
  </si>
  <si>
    <t>José Manoel Borges Braga</t>
  </si>
  <si>
    <t>Avenida Barão do Rio Branco</t>
  </si>
  <si>
    <t>TFL ELEUTHERIA</t>
  </si>
  <si>
    <t>70 1º Lei 9605; 72 Lei 9605; 3º II Decreto 6514; 3º IV Decreto 6514; 3º V Decreto 6514.</t>
  </si>
  <si>
    <t>24, I, parág. 1° 3° III Dec. 6.514/2008.</t>
  </si>
  <si>
    <t>HLLAJKNE</t>
  </si>
  <si>
    <t>Ter em cativeiro 04 espécimes da fauna silvestre brasileira em desacordo com a obtida, pois mantinha três pássaros anilhados que não constavam em sua relação: Trinca-ferro, anilha Sispass 3.5 ES/A 003617; Trinca-ferro anilha Sispass 3.5 MG/A 058595; Coleiro, anilha Ibama OA 2.2 327273 e; um pássaro (coleiro) sem anilha.</t>
  </si>
  <si>
    <t>Pancas</t>
  </si>
  <si>
    <t>JUNIELTON ALVES RODRIGUES</t>
  </si>
  <si>
    <t>Residência do autuado.</t>
  </si>
  <si>
    <t>24 3º I Decreto 6514; 24 3º III Decreto 6514; 24 6º I Decreto 6514; 24 6º III Decreto 6514; 70 1º Lei 9605; 72 Lei 9605; 3º II Decreto 6514; 3º IV Decreto 6514.</t>
  </si>
  <si>
    <t>INAXCO5Z</t>
  </si>
  <si>
    <t>Apanhar espécimes da fauna silvestre ( oito tracajás - Podocnemis Unifilis), nas margens do rio Solimões, sem autorização da autoridade ambiental competente.</t>
  </si>
  <si>
    <t>ADELSON PEREZ SOUZA</t>
  </si>
  <si>
    <t>Rio  Solimões.</t>
  </si>
  <si>
    <t>24 Inc. 1 Decreto 6514/2008.</t>
  </si>
  <si>
    <t>29, caput Lei Federal 9.605/1998.</t>
  </si>
  <si>
    <t>ENAB968Q</t>
  </si>
  <si>
    <t>José Manoel Borges Braga u</t>
  </si>
  <si>
    <t>35, I, parág. 1° e 3° III 6.514/2008.</t>
  </si>
  <si>
    <t>R7U4F3DW</t>
  </si>
  <si>
    <t>Pescar em local no qual a pesca seja proibida, a menos de 5 milhas náuticas da costa (Albardão), utilizando a embarcação EMANUELLE II, inscrição MB n. 461008643-3, RGP: RS0000596-6, no cruzeiro de pesca realizado entre os dias 07 a 11/12/2019.</t>
  </si>
  <si>
    <t>Santa Vitória do Palmar</t>
  </si>
  <si>
    <t>WILSON AMORIM DE PAIVA</t>
  </si>
  <si>
    <t>Zona costeira sul do RS</t>
  </si>
  <si>
    <t>7,   INI MPA/MMA 12/2012.</t>
  </si>
  <si>
    <t>OHQVAUL2</t>
  </si>
  <si>
    <t>Vender 134,653 m3 de madeira de espécies diversassendo, 6,249 m3 em toras e 128,404 m3 serrada, sem licença válida outorgada pela autoridade competente, conforme planilha em anexo.</t>
  </si>
  <si>
    <t>47 § 1,2,4 Decreto 6514/2008.</t>
  </si>
  <si>
    <t>CC3BFENQ</t>
  </si>
  <si>
    <t>Efetuar a plataforma P-26, no dia 07/06/2019, de acordo com a comunicação inicial do incidente (UO-BC-0210/2019 retificador), a descarga de 0,00015 metros cúbicos de óleo lubrificante NEMIS NS em desacordo com a legislação e com o autorizado no processo de licenciamento.</t>
  </si>
  <si>
    <t>Nupaem RJ</t>
  </si>
  <si>
    <t>4EWQPHG6</t>
  </si>
  <si>
    <t>Ter em cativeiro 322 espécimes da fauna silvestre nativa (aves), compreendendo indivíduos constantes de lista oficial de fauna brasileira ameaçada de extinção, sem a devida permissão, licença ou autorização do órgão ambiental competente.</t>
  </si>
  <si>
    <t>Itapema</t>
  </si>
  <si>
    <t>SÉRGIO RICARDO DE SENA</t>
  </si>
  <si>
    <t>Estrada Geral Alto Areal, s/n, Casa Branca, zona rural, Itapema ,SC. 88220-000</t>
  </si>
  <si>
    <t>B8XCWVRQ</t>
  </si>
  <si>
    <t>Descumprir obrigação prevista no sistema de logística reversa implantado nos termos da Lei n° 12.305, de 2010, consoante as responsabilidades específicas estabelecidas para o referido sistema: deixar de destinar OLUC referente a meta/ano de 2017.</t>
  </si>
  <si>
    <t>Penalidade pecuniária - Qualidade Ambiental</t>
  </si>
  <si>
    <t>Qualidade Ambiental</t>
  </si>
  <si>
    <t>Serra</t>
  </si>
  <si>
    <t>Infração referente a Qualidade Ambiental(Não Classificada-Móvel)</t>
  </si>
  <si>
    <t>G TRADING COMÉRCIO EXTERIOR HQ LTDA</t>
  </si>
  <si>
    <t>Sede da Empresa</t>
  </si>
  <si>
    <t>OLUC</t>
  </si>
  <si>
    <t>62 Decreto 6514; 70 1º Lei 9605; 72 Lei 9605; 3º II Decreto 6514.</t>
  </si>
  <si>
    <t>62, XII Decreto n° 6.514/2008; 33, IV Lei n° 12.305/2010.</t>
  </si>
  <si>
    <t>HHHUATIW</t>
  </si>
  <si>
    <t>Transportar 1390 Kg de pescado da espécie popularmente conhecida como Pacu, em período cuja pesca é proibida.</t>
  </si>
  <si>
    <t>Raimundo Nonato Moraes Rodrigues</t>
  </si>
  <si>
    <t>35 III Decreto 6514; 70 1º Lei 9605; 72 Lei 9605; 3º II Decreto 6514; 3º IV Decreto 6514.</t>
  </si>
  <si>
    <t>1, Par. 1 Portaria 48/2007.</t>
  </si>
  <si>
    <t>5HAJ40QC</t>
  </si>
  <si>
    <t>inserir informação falsa ou enganosa em sistemas oficiais de controle de passeriformes ao informar data de nascimento divergente do declarado no requerimento de anilha.</t>
  </si>
  <si>
    <t>São Bernardo do Campo</t>
  </si>
  <si>
    <t>EDSON ALMEIDA GOMES</t>
  </si>
  <si>
    <t>Rua Sagrada Família 36</t>
  </si>
  <si>
    <t>GUBAFGGZ</t>
  </si>
  <si>
    <t>Pescar em local no qual a pesca seja proibida, 
a menos de 5 milhas náuticas da costa (Albardão) utilizando a embarcação EMANUELLE II, inscrição MB n. 461008643-3, RGP: RS000596-6, no cruzeiro de pesca realizado entre os dias 07 a 11/12/2020.</t>
  </si>
  <si>
    <t>Zona costeira sul do RS, a menos de 1mn da costa.</t>
  </si>
  <si>
    <t>7, 
 INI MPA/MMA 12/2012.</t>
  </si>
  <si>
    <t>CT8E9FH8</t>
  </si>
  <si>
    <t>Ter em depósito 55,586 m3 de madeira serrada, de espécies e bitolas diversas, em desacordo com a licença outorgada pela autoridade competente. Conforme planilha em anexo.</t>
  </si>
  <si>
    <t>BR 210, KM 57, Lote 395</t>
  </si>
  <si>
    <t>LD28R5XX</t>
  </si>
  <si>
    <t>Destruir 8,47 Hectares de floresta nativa na Região Amazônica, objeto de especial preservação sem autorização da autoridade Ambiental Competente, nas coordenadas Centrais: 2°39'38,18'' N e 51°20'39,76'' W, ID2019LFV000018, conforme mapa de alteração de cobertura vegetal</t>
  </si>
  <si>
    <t>Oiapoque</t>
  </si>
  <si>
    <t>Antônio Azevedo</t>
  </si>
  <si>
    <t>Vicinal São Benedito, saindo 9 km do Distrito de Carnot sentido Macapá, lote 142 - Município de Calçoene-AP.</t>
  </si>
  <si>
    <t>DES NOVA FRONTEIRA II</t>
  </si>
  <si>
    <t>26, caput Lei 12.651/12.</t>
  </si>
  <si>
    <t>H826TYES</t>
  </si>
  <si>
    <t>Destruir a corte raso 7,16 hectares de floresta nativa na Região Amazônica objeto de especial preservação, sem autorização da autoridade ambiental competente, nas Coordenadas centrais 2° 45' 41,03'' N  e  51° 19' 54,75 W, ID2019LVF000021, conforme Mapa de alteração de cobertura vegetal.</t>
  </si>
  <si>
    <t>José Carlos Barbosa Araujo</t>
  </si>
  <si>
    <t>Vicinal Raio de Sol, Lote 120, P.A Carnot, Município de Calçoene- AP.</t>
  </si>
  <si>
    <t>26, Caput Lei 12.651/12.</t>
  </si>
  <si>
    <t>IAFZ97HG</t>
  </si>
  <si>
    <t>Inserir informação falsa ou enganosa em sistemas oficiais de controle de passeriformes ao declarar data de nascimento divergente do informado em requerimento de anilhas.</t>
  </si>
  <si>
    <t>ADEVALDO CELESTINO DE SOUZA</t>
  </si>
  <si>
    <t>Rua Primeiro de Junho, 4</t>
  </si>
  <si>
    <t>MHXP7YPD</t>
  </si>
  <si>
    <t>Ter em cativeiro 322 espécimes da fauna silvestre nativa (aves), compreendendo indivíduos constantes da lista oficial de fauna brasileira ameaçada de extinção, sem a devida permissão, licença ou autorização do órgão ambiental competente.</t>
  </si>
  <si>
    <t>Sérgio Ricardo de Sena</t>
  </si>
  <si>
    <t>Estrada Geral Alto Areal, SN, Casa Branca, zona rural, Itapema, SC, 88220-000.</t>
  </si>
  <si>
    <t>24 3º I Decreto 6514; 24 3º II Decreto 6514; 24 3º III Decreto 6514; 70 1º Lei 9605; 72 Lei 9605; 3º II Decreto 6514; 3º IV Decreto 6514; 3º V Decreto 6514.</t>
  </si>
  <si>
    <t>U8QWIV6H</t>
  </si>
  <si>
    <t>Obstar a ação do Poder Público no exercício de atividades de fiscalização ambiental, quando na condição de proprietário da carga de madeiras serradas apreendidas pelo IBAMA e em procedimentos da ação fiscalizatória, determinou ao Comandante do comboio das embarcações Empurrador Frango Teso e Balsa RGF I, empreendessem "Fuga" para local ignorado e não sabido na data de xxx e de acordo com demais informações do Relatório de Fiscalização.</t>
  </si>
  <si>
    <t>Santarém</t>
  </si>
  <si>
    <t>HUIDSON MAGDALAO</t>
  </si>
  <si>
    <t>Área portuária da empresa Unirios em Santarém-Pa.</t>
  </si>
  <si>
    <t>77 Decreto 6514; 70 1º Lei 9605; 72 Lei 9605; 3º II Decreto 6514.</t>
  </si>
  <si>
    <t>N6G87LUL</t>
  </si>
  <si>
    <t>Obstar a ação do Poder Público no exercício de atividades de fiscalização ambiental, quando na condição de proprietário do Empurrador Frango Teso, atracado à Balsa RGF I, carregada com madeiras serradas apreendidas, sob ação fiscalizatória do IBAMA, determinou ao Comandante do comboio que empreendessem "Fuga" para local ignorado e não sabido, na data de xxx e de acordo com demais informações do Relatório de Fiscalização.</t>
  </si>
  <si>
    <t>AFRANIO DE CRISTO KAWAMURA</t>
  </si>
  <si>
    <t>Área portuária da empresa Unirios, Santarém-Pa.</t>
  </si>
  <si>
    <t>C7BI6IAL</t>
  </si>
  <si>
    <t>comercializar 13,470 kg de lagosta vermelha e Cabo Verde no período do defeso sem declarar estoque, conforme Decreto 6.514/98, IN 206/2008.</t>
  </si>
  <si>
    <t>Cabo de Santo Agostinho</t>
  </si>
  <si>
    <t>PE</t>
  </si>
  <si>
    <t>J.C.S.Gomes</t>
  </si>
  <si>
    <t>praia de Calhetas Cabo Santo Agostinho</t>
  </si>
  <si>
    <t>PE/SUPES</t>
  </si>
  <si>
    <t>ROTINA - NOVO AIE</t>
  </si>
  <si>
    <t>35 VI Decreto 6514; 70 1º Lei 9605; 72 Lei 9605; 3º II Decreto 6514; 3º IV Decreto 6514.</t>
  </si>
  <si>
    <t>JVRO3SMF</t>
  </si>
  <si>
    <t>Vender 25,7677 m3 de madeiras serradas (forro, decking, meia cana e guarnições), em desacordo com as licenças emitidas (GF3), quantidade/volume de produto transportado diferente do autorizado/declarado.</t>
  </si>
  <si>
    <t>MADEZIL MADEIRAS EIRELI</t>
  </si>
  <si>
    <t>BR 060 KM 290 Posto da Polícia Rodoviária Federa-PRF em Rio Verde.</t>
  </si>
  <si>
    <t>QISRWIG4</t>
  </si>
  <si>
    <t>Barueri</t>
  </si>
  <si>
    <t>ÓLEO MONTREAL EIRELLI</t>
  </si>
  <si>
    <t>62 Decreto 6514/2008.</t>
  </si>
  <si>
    <t>LCQO3B5G</t>
  </si>
  <si>
    <t>Inserir informação falsa ou enganosa em sistemas oficiais de controle de passeriformes ao declarar data de nascimento divergente da informada em outros sistemas oficiais (SEI).</t>
  </si>
  <si>
    <t>VALDECIR HELENO LIRA</t>
  </si>
  <si>
    <t>Viela Pernambucana, 22</t>
  </si>
  <si>
    <t>2QN9RVH7</t>
  </si>
  <si>
    <t>Inserir informação falsa ou enganosa em sistemas oficiais de controle de passeriformes ao informar datas de nascimento divergentes da declaração enviada ao Ibama.</t>
  </si>
  <si>
    <t>BRUNO GONÇALVES BARRETO</t>
  </si>
  <si>
    <t>Rua Senador Rui Carneiro, 238</t>
  </si>
  <si>
    <t>A92EYYNI</t>
  </si>
  <si>
    <t>Estrada Geral Alto Areal, S/N, Casa Branca, zona rural, Itapema, SC, 88220-000</t>
  </si>
  <si>
    <t>LERVANF4</t>
  </si>
  <si>
    <t>Apresentar informação enganosa no sistema oficial de controle (Cadastro Técnico Federal de Atividades Potencialmente Poluidoras e Utilizadoras de Recursos Ambientais - CTF/APP) no tocante à data de início de atividades referentes ao comércio e depósito de produtos perigosos (agrotóxicos).</t>
  </si>
  <si>
    <t>Faxinal do Soturno</t>
  </si>
  <si>
    <t>CEREAIS FAXINALENSE LTDA</t>
  </si>
  <si>
    <t>Cereais Faxinalense Ltda (Cefal)</t>
  </si>
  <si>
    <t>72, II Lei Federal 9605/98.</t>
  </si>
  <si>
    <t>5DQFW6OB</t>
  </si>
  <si>
    <t>Deixar de instalar na embarcação OSSO DE BALEIA I, Inscrição na Capitania 46600008657, o sistema de rastreamento de embarcação por satélite - PREPS, sendo o seu proprietário devidamente notificado através da notificação 12538-E. A presente autuação também visa cumprir a decisão administrativa eletrônica simplificada de 1 instância - Auto de infração No xxx presente no processo IBAMA 02026.002266/2015-19.</t>
  </si>
  <si>
    <t>Florianópolis</t>
  </si>
  <si>
    <t>Adailton Mario dos Santos</t>
  </si>
  <si>
    <t>Porto da Barra da Lagoa, Florianópolis-SC</t>
  </si>
  <si>
    <t>80 Decreto 6514/2008.</t>
  </si>
  <si>
    <t>16 e 17, . Instrução Normativa Interministerial 12, 22/08/12.</t>
  </si>
  <si>
    <t>NF78V57S</t>
  </si>
  <si>
    <t>Executar lavra em 2 hectares de área sem licença ambiental outorgada pela autoridade ambiental competente.</t>
  </si>
  <si>
    <t>Geremias Avelino de Abreu</t>
  </si>
  <si>
    <t>fazenda Ourinhos, quilombola de Mata Cavalo</t>
  </si>
  <si>
    <t>63 § único Decreto 6514/2008.</t>
  </si>
  <si>
    <t>U20ZRVJW</t>
  </si>
  <si>
    <t>Inserir informação falsa ou enganosa em sistemas oficiais de controle ao declarar nascimento em datas divergentes das informadas em documentos oficiais, bem como por realizar troca de mãe sem comprovação de óbito, fuga ou roubo/furto.</t>
  </si>
  <si>
    <t>FELIPE GARCIA</t>
  </si>
  <si>
    <t>Rua Rubens Mascarenhas, 209</t>
  </si>
  <si>
    <t>34, Parágrafo 5 IN 10/2011; 35, Parágrafo 2 IN 10/2011.</t>
  </si>
  <si>
    <t>BX9UUHJP</t>
  </si>
  <si>
    <t>Obstar a ação do Poder Público no exercício de atividades de fiscalização ambiental, na condição de Comandante do comboio de embarcações E/M Frango Teso e Balsa RGF I, apreendidas pelo IBAMA e em procedimentos de ação fiscalizatória, quando empreendeu "Fuga" na data de xxx e de acordo com informações do Relatório de Fiscalização.</t>
  </si>
  <si>
    <t>WILSON JOSÉ LIRA BRELAZ</t>
  </si>
  <si>
    <t>G2PEPKWJ</t>
  </si>
  <si>
    <t>Destruir 8,23 hectares de floresta nativa na Região Amazônica, objeto de especial preservação, sem autorização da autoridade Ambiental Competente, nas coordenadas centrais: 2°41'54,14"N e 51°19'21,12"W,  ID2019LFV000019, conforme mapa de alteração de cobertura vegatal.</t>
  </si>
  <si>
    <t>Lidejane Cunha Cardoso</t>
  </si>
  <si>
    <t>Vicinal Boa Esperança, lote 406 - P. A. Carnot - município de Calçoene-AP.</t>
  </si>
  <si>
    <t>26, caput Lei 12.652/12.</t>
  </si>
  <si>
    <t>2DVXDDWP</t>
  </si>
  <si>
    <t>Transportar 180 kg de pescado da espécie conhecida popularmente por traíra sem comprovante de origem ou autorização do órgão competente</t>
  </si>
  <si>
    <t>Raimar de Andrade Franco</t>
  </si>
  <si>
    <t>Beira Rio na frente da cidade de Óbidos</t>
  </si>
  <si>
    <t>35 IV Decreto 6514; 70 1º Lei 9605; 72 Lei 9605; 3º II Decreto 6514; 3º IV Decreto 6514.</t>
  </si>
  <si>
    <t>S9Q5U7NZ</t>
  </si>
  <si>
    <t>Transportar 104 kg de pescado em período cuja a pesca é proibida</t>
  </si>
  <si>
    <t>Oriximiná</t>
  </si>
  <si>
    <t>RAIMUNDO SEIXAS TAVARES</t>
  </si>
  <si>
    <t>Lago do sapucuá</t>
  </si>
  <si>
    <t>HVQC5M5Y</t>
  </si>
  <si>
    <t>Destruir 9,49 Hectares de floresta nativa na Região Amazônica, objeto de especial preservação, sem autorização da autoridade Ambiental Competente, nas coordenadas centrais: 2°56'12,6,60''N  51°34'41,66''W, ID2019LFV000022, conforme mapa de alteração de cobertura vegetal.</t>
  </si>
  <si>
    <t>Luiz Aldir Lisboa dos Anjos</t>
  </si>
  <si>
    <t>BR 156 km 30, saindo da Vila Carnot, sentido Município de Oiapoque, Lote 81 - P. A. Carnot - Município de Calçoene-AP.</t>
  </si>
  <si>
    <t>26, caput 12.651/12.</t>
  </si>
  <si>
    <t>1ZJJETTT</t>
  </si>
  <si>
    <t>Ter em guarda 01 (uma) carcaça de Tatu (Dasypus novemcinctus), sem autorização do órgão ambiental competente, bem como origem ilícita.</t>
  </si>
  <si>
    <t>Estrada Geral Alto Areal, S/N, Casa Branca, zona rural, Itapema, SC. 88220-000.</t>
  </si>
  <si>
    <t>UQDZ9U2K</t>
  </si>
  <si>
    <t>Manter em cativeiro espécimes da fauna silvestre (três periquitos) sem autorização do órgão ambiental competente.</t>
  </si>
  <si>
    <t>Marechal Thaumaturgo</t>
  </si>
  <si>
    <t>RAIMUNDO NONATO HORÁRCIO DOS SANTOS</t>
  </si>
  <si>
    <t>Foz do Rio Araras</t>
  </si>
  <si>
    <t>24 Inc. 2, § 3 Decreto 6514/2008.</t>
  </si>
  <si>
    <t>EKTW9BGO</t>
  </si>
  <si>
    <t>Caçar sem autorização do órgão ambiental competente.</t>
  </si>
  <si>
    <t>Müller de Oliveira da Silva</t>
  </si>
  <si>
    <t>Rio Juruá próximo à Foz do Rio Araras</t>
  </si>
  <si>
    <t>24 Decreto 6514/2008.</t>
  </si>
  <si>
    <t>ZZ1RZRQP</t>
  </si>
  <si>
    <t>Introduzir animais silvestres exóticos no paia - 49 (quarenta e nove) espécimes de camaleão indetificados em bagagem no terminal de passageiros TPS 3 do aeroporto internacional de Guarulhos - sem licença expedida pela autoridade ambiental competente.</t>
  </si>
  <si>
    <t>Olugbenga Olusola Fayenuwo</t>
  </si>
  <si>
    <t>Terminal 3</t>
  </si>
  <si>
    <t>M43O5OCH</t>
  </si>
  <si>
    <t>Transportar partes de animal silvestre ( paca e veado) sem autorização do órgão ambiental competente.</t>
  </si>
  <si>
    <t>Benjamin Constant</t>
  </si>
  <si>
    <t>Adelson Peres Quirino</t>
  </si>
  <si>
    <t>Proximidades do município de Benjamin Constant-AM.</t>
  </si>
  <si>
    <t>24 3º I Decreto 6514; 24 3º III Decreto 6514; 70 1º Lei 9605; 72 Lei 9605; 3º II Decreto 6514; 3º IV Decreto 6514; 3º V Decreto 6514.</t>
  </si>
  <si>
    <t>M0DKQTSD</t>
  </si>
  <si>
    <t>Deixar de apresentar relatório e informações ambientais nós prazos exigidos pela legislação/CTF. Referência processo Ibama 02001.004166/2015-13</t>
  </si>
  <si>
    <t>Controle Ambiental</t>
  </si>
  <si>
    <t>FAZENDA MARINHA OSTRAVAGANTE LTDA - EPP</t>
  </si>
  <si>
    <t>Superintendência do Ibama em SC</t>
  </si>
  <si>
    <t>81 Decreto 6514/2008.</t>
  </si>
  <si>
    <t>T1HB9Z16</t>
  </si>
  <si>
    <t>Inserir informação falsa ou enganosa em sistemas oficiais de controle ao declarar nascimento de passeriformes sem que houvesse o devido anilhamento.</t>
  </si>
  <si>
    <t>SAULO DE ALMEIDA SANTOS</t>
  </si>
  <si>
    <t>Av. José Higino Neves 1517, bloco 1</t>
  </si>
  <si>
    <t>JFBGQN3A</t>
  </si>
  <si>
    <t>APRESENTAR INFORMAÇÃO FALSA NO SISTEMA OFICIAL DE CONTROLE (SISFLORA/PA), AO UTILIZAR 206,909 m3 DE CRÉDITO FALSO DA ESPÉCIE Vochysia paraensis, PARA ACOBERTAR A EXPLORAÇÃO E  TRANSPORTE DA ESPÉCIE Erisma uncinatum.</t>
  </si>
  <si>
    <t>Prainha</t>
  </si>
  <si>
    <t>TATIANE RUSCHEL FIGARELLA</t>
  </si>
  <si>
    <t>PMFS xxx LOTE 39 SETOR A. AUTEF xxx</t>
  </si>
  <si>
    <t>EXP FLORESTA FLORIDA II STM</t>
  </si>
  <si>
    <t>TRS7JOA6</t>
  </si>
  <si>
    <t>Deixar de inscrever-se no Cadastro Técnico Federal de que trata o art. 17 da Lei 6938/81 após devidamente Notificado. Referência Processo Ibama 02001.004166/2015-13.</t>
  </si>
  <si>
    <t>76 Decreto 6514/2008.</t>
  </si>
  <si>
    <t>YLB9QRG3</t>
  </si>
  <si>
    <t>Transportar 13,7 metros cúbicos de madeira em tora da espécie maçaranduba no veículo KKZ-6298, sem licença válida (DOF) para todo o tempo da viagem, outorgada pela autoridade competente.</t>
  </si>
  <si>
    <t>Serra do Navio</t>
  </si>
  <si>
    <t>Manoel Francisco Conceição Silva</t>
  </si>
  <si>
    <t>Vicinal do Assentamento da Colônia Água Branca, Serra do Navio</t>
  </si>
  <si>
    <t>PKDFJ2F7</t>
  </si>
  <si>
    <t>Vender 252,3501 m3 de madeiras em desacordo com a licença obtida.</t>
  </si>
  <si>
    <t>Aripuanã</t>
  </si>
  <si>
    <t>Madeireira Florais do Vale Eireli- RPP</t>
  </si>
  <si>
    <t>Aripuanã, distrito de Conselvan</t>
  </si>
  <si>
    <t>9V7CZMR0</t>
  </si>
  <si>
    <t>Pescar em local proibido no Parque nacional do Virua</t>
  </si>
  <si>
    <t>Caracaraí</t>
  </si>
  <si>
    <t>Mizael Vitor de Oliveira</t>
  </si>
  <si>
    <t>Parque nacional do virua</t>
  </si>
  <si>
    <t>CTF ROTINA III</t>
  </si>
  <si>
    <t>35, Parágrafo Único 9605/98.</t>
  </si>
  <si>
    <t>JO36L1C5</t>
  </si>
  <si>
    <t>Ter em depósito 47,603m³ de madeira serrada da essência Castanheira, sem licença válida, comprovando a origem e o depósito ilegal da madeira.</t>
  </si>
  <si>
    <t>Tucumã</t>
  </si>
  <si>
    <t>MATHEUS HENRIQUE SILVA PELEGRINI</t>
  </si>
  <si>
    <t>Av Brasil, Vicinal 8, Zona Rural - Tucumã/PA</t>
  </si>
  <si>
    <t>MAB/GEREX</t>
  </si>
  <si>
    <t>EXP DRIADE II</t>
  </si>
  <si>
    <t>60, II Decreto Federal nº 6514/2008.</t>
  </si>
  <si>
    <t>P1PB7IC9</t>
  </si>
  <si>
    <t>Transporte de 22 m³ de madeira serrada tabua de Muiricatiara, sem licença válida todo tempo da viagem ou armazenamento outorgado pela autoridade ambiental competente.</t>
  </si>
  <si>
    <t>Quixadá</t>
  </si>
  <si>
    <t>Vender, expor à venda, ter em depósito, transportar ou guardar madeira, lenha, carvão ou outros produtos de origem vegetal, sem licença válida para todo o tempo da viagem ou do armazenamento, outorgada pela autoridade competente ou em desacordo com a obtida.</t>
  </si>
  <si>
    <t>Antonio Alves Bezerra Junior</t>
  </si>
  <si>
    <t>na Policia Rodoviária Estadual de Iguatu/CE</t>
  </si>
  <si>
    <t>70 §1º 72 Lei 9605/98; 3º II-IV 47 1º Decreto 6514/2008.</t>
  </si>
  <si>
    <t>47, 1º  DECRETO FEDERAL 6514/08.</t>
  </si>
  <si>
    <t>CY4RTCB2</t>
  </si>
  <si>
    <t>Vender 238,203 m3 de madeira de espécies diversas sendo, 140,407 m3 em toras e 97,796 m3 serrada sem licença válida outorgada pela autoridade competente, conforme planilhas em anexo.</t>
  </si>
  <si>
    <t>A. J. DE OLIVEIRA EIRELI EPP</t>
  </si>
  <si>
    <t>Serraria Nova Conquista, D Industrial</t>
  </si>
  <si>
    <t>47 1º Decreto 6514; 47 2º Decreto 6514; 47 4º Decreto 6514; 70 1º Lei 9605; 72 Lei 9605; 3º II Decreto 6514.</t>
  </si>
  <si>
    <t>MATY3Y85</t>
  </si>
  <si>
    <t>Deixar de apresentar relatório nos prazos exigidos pela legislação, RAPP nos anos 2012-2018.</t>
  </si>
  <si>
    <t>Parnaíba</t>
  </si>
  <si>
    <t>JOÃO JUSTINO DE BRITO NETO</t>
  </si>
  <si>
    <t>Rua Padre Raimundo José Vieira 722</t>
  </si>
  <si>
    <t>TEM2AVH9</t>
  </si>
  <si>
    <t>Guardar no recinto vinculado ao reservatório de água do mercado municipal, espécimes de paca e queixada, espécies da fauna silvestre nativa, sem a devida permissão, licença ou autorização da autoridade ambiental competente.</t>
  </si>
  <si>
    <t>PREFEITURA MUNICIPAL DE BENJAMIM CONSTANT</t>
  </si>
  <si>
    <t>Mercado Municipal - Praça da Bandeira, S/N - Centro - Benjamin Constant</t>
  </si>
  <si>
    <t>24 1º I Decreto 6514; 24 1º III Decreto 6514; 24 7º I Decreto 6514; 24 7º III Decreto 6514; 70 1º Lei 9605; 72 Lei 9605; 3º II Decreto 6514; 3º IV Decreto 6514.</t>
  </si>
  <si>
    <t>FJ3QW0NJ</t>
  </si>
  <si>
    <t>Inserir informação falsa ou enganosa em sistemas oficiais ao declarar nascimento de passeriforme após ter comunicado a impossibilidade de anilhamento do animal.</t>
  </si>
  <si>
    <t>Diadema</t>
  </si>
  <si>
    <t>VALTERCIO GABRIEL DOS SANTOS</t>
  </si>
  <si>
    <t>R. Clementina de Jesus, 16</t>
  </si>
  <si>
    <t>YDJGJAEN</t>
  </si>
  <si>
    <t>APRESENTAR RELATÓRIO AMBIENTAL (IF100%), PARCIALMENTE FALSO, ENGANOSO, OU OMISSO, NO LICENCIAMENTO AMBIENTAL DO PMFS DE AUTEF xxx E SISTEMA OFICIAL DE CONTROLE.</t>
  </si>
  <si>
    <t>JOSÉ JORGE CAVALCANTE COQUEIRO</t>
  </si>
  <si>
    <t>PMFS xxx - LOTE 39 SETOR A</t>
  </si>
  <si>
    <t>3FJSQ9AZ</t>
  </si>
  <si>
    <t>Ter em depósito 87,794 m3 de madeira serrada de espécies diversas, em desacordo com a licença obtida da autoridade competente . Conforme planilha em anexo.</t>
  </si>
  <si>
    <t>A. J. OLIVEIRA COMÉRCIO DE MADEIRAS EIRELI</t>
  </si>
  <si>
    <t>Distrito Industrial, São Luiz/RR</t>
  </si>
  <si>
    <t>47 1º Decreto 6514; 47 2º Decreto 6514; 70 1º Lei 9605; 72 Lei 9605; 3º II Decreto 6514; 3º IV Decreto 6514; 3º IX Decreto 6514.</t>
  </si>
  <si>
    <t>BLC3UNT5</t>
  </si>
  <si>
    <t>Desmatar 6,22 hectares de vegetação nativa em Área de Reserva Legal, sem autorização do órgão ambiental competente, conforme processo 02010.003504/2002-68.</t>
  </si>
  <si>
    <t>Corumbá de Goiás</t>
  </si>
  <si>
    <t>EUNICIO LOPES DE OLIVEIRA</t>
  </si>
  <si>
    <t>Fazenda Capuava</t>
  </si>
  <si>
    <t>GKJ2097P</t>
  </si>
  <si>
    <t>Transportar 2,670 m³ de madeira serrada da espécie conhecida vulgarmente como Marupá, sem a licença outorgada pela autoridade ambiental competente.</t>
  </si>
  <si>
    <t>Tiago Furtado Guedes</t>
  </si>
  <si>
    <t>Rio Oiapoque, Porto da Metalúrgica Mestre João - Oiapoque-AP.</t>
  </si>
  <si>
    <t>Z2GURYYB</t>
  </si>
  <si>
    <t>Expor a venda, especime da fauna silvestre brasileira, sem licença ou autorização da autoridade ambiental competente.</t>
  </si>
  <si>
    <t>Rogério Galdino da Silva</t>
  </si>
  <si>
    <t>Rua Barão do Rio Branco, Feira Livre da Prata, município de Campina Grande.</t>
  </si>
  <si>
    <t>24 1º I Decreto 6514; 24 1º III Decreto 6514; 70 1º Lei 9605; 72 Lei 9605; 3º II Decreto 6514; 3º IV Decreto 6514.</t>
  </si>
  <si>
    <t>927M5X5F</t>
  </si>
  <si>
    <t>Expor a venda, espécime da fauna silvestre, sem a devida permissão, licença ou autorização da autoridade competente.</t>
  </si>
  <si>
    <t>Fernando Lopes de Andrade</t>
  </si>
  <si>
    <t>Av. Barão do Rio Branco, S/N</t>
  </si>
  <si>
    <t>24 1º I Decreto 6514; 24 1º III Decreto 6514; 70 1º Lei 9605; 72 Lei 9605; 3º II Decreto 6514; 3º IV Decreto 6514; 3º V Decreto 6514.</t>
  </si>
  <si>
    <t>9H3AWOG0</t>
  </si>
  <si>
    <t>Expor a venda, espécimes da fauna silvestre nativa, sem a licença ou autorização da autoridade ambiental competente.</t>
  </si>
  <si>
    <t>Severino Batista de Lima</t>
  </si>
  <si>
    <t>69FSVBPL</t>
  </si>
  <si>
    <t>Expor a venda, espécimes da fauna silvestre, sem autorização da autoridade ambiental competente.</t>
  </si>
  <si>
    <t>José Barros Marinho</t>
  </si>
  <si>
    <t>Feira Livre da Prata</t>
  </si>
  <si>
    <t>3 Inc. 2,4,5 Decreto 6514/2008; 70 § 1 Lei 9605/98; 72 Lei 9605/98.</t>
  </si>
  <si>
    <t>24, I, parág. 1,° e 3° III Dec. 6.514/2008.</t>
  </si>
  <si>
    <t>GE7KLKSX</t>
  </si>
  <si>
    <t>Expor a venda 02 espécimes da fauna silvestre natina (Azulão), sem a devida permissão licença ou autorização da autoridade Ambiental Competente.</t>
  </si>
  <si>
    <t>Danilo Almrida de Andrade</t>
  </si>
  <si>
    <t>Feira livre da Prata, Campina Grande</t>
  </si>
  <si>
    <t>24 Inc. 1,3, § 1 Decreto 6514/2008.</t>
  </si>
  <si>
    <t>O4DYZ3YY</t>
  </si>
  <si>
    <t>Expor a venda espécimes da fauna silvestre nativa,sem a licença ou autorização da autoridade competente.</t>
  </si>
  <si>
    <t>JOSÉ EUCLIDES DE ANDRADE</t>
  </si>
  <si>
    <t>Feira central da Prata/PB</t>
  </si>
  <si>
    <t>24, I, paràg. 1° e 3° III Dec. 6.514/98.</t>
  </si>
  <si>
    <t>V48GGEXO</t>
  </si>
  <si>
    <t>AL/SUPES</t>
  </si>
  <si>
    <t>Ter em cativeiro 01 (um) espécime da fauna silvestre nativa da espécie Amazona aestiva (Papagaio-verdadeiro), sem a devida autorização da autoridade ambiental competente e sem comprovação de origem.</t>
  </si>
  <si>
    <t>Maceió</t>
  </si>
  <si>
    <t>AL</t>
  </si>
  <si>
    <t>Angela Julião Pereira</t>
  </si>
  <si>
    <t>Rua Tucuruvi, 09 - Feitosa, Maceió/AL - CEP 57043-495</t>
  </si>
  <si>
    <t>ROTINA III</t>
  </si>
  <si>
    <t>24 Inc. 2,3, § 3 Decreto 6514/2008.</t>
  </si>
  <si>
    <t>US06O9QA</t>
  </si>
  <si>
    <t>Tansportar 40,166 m3 de madeiras serradas em desacordo com a licença obtida.</t>
  </si>
  <si>
    <t>Itiquira</t>
  </si>
  <si>
    <t>INDÚSTRIA E COMERCIO DE MADEIRAS SANTA CATARINA LTDA</t>
  </si>
  <si>
    <t>Posto de Fiscalização da Polícia Rodoviária Federal de Itiquira -MT</t>
  </si>
  <si>
    <t>RUS812QR</t>
  </si>
  <si>
    <t>Guardar duas carcaças de juritis abatidas (animais da Fauna Silvestres  nativa), sem a devida autorização ambiental.</t>
  </si>
  <si>
    <t>Tauá</t>
  </si>
  <si>
    <t>Vender, expor à venda, exportar ou adquirir, guardar, ter em cativeiro ou depósito, utilizar ou transportar ovos, larvas ou espécimes da fauna silvestre, nativa ou em rota migratória, bem como produtos e objetos dela oriundos, provenientes de criadouros não autorizados, sem a devida permissão, licença ou autorização da autoridade ambiental competente ou em desacordo com a obtida.</t>
  </si>
  <si>
    <t>Emanuel Avelange Caracas</t>
  </si>
  <si>
    <t>no endereço do autuado</t>
  </si>
  <si>
    <t>70 §1º 72 Lei 9605/98; 3º II-IV 24 §3° I, III Decreto 6514/2008.</t>
  </si>
  <si>
    <t>7GYLHQA</t>
  </si>
  <si>
    <t>Ter em cativeiro 01 espécimes da Fauna Silvestre nativa brasileira, sem  a autorização ambiental.</t>
  </si>
  <si>
    <t>Jhonnata Gonçalves Caracas</t>
  </si>
  <si>
    <t>VZYT2SRA</t>
  </si>
  <si>
    <t>FAZER FUNCIONAR ATIVIDADE POTENCIALMENTE POLUIDORA, FABRICAÇÃO DE GESSO,SEM A LICENÇA DE OPERAÇÃO EMITIDA PELO ÓRGÃO AMBIENTAL COMPETENTE.</t>
  </si>
  <si>
    <t>Araripina</t>
  </si>
  <si>
    <t>LUIZ DAVID DE ANDRADE -ME</t>
  </si>
  <si>
    <t>LM GESSO ARARIPINA PE</t>
  </si>
  <si>
    <t>CP PEDRA BRANCA</t>
  </si>
  <si>
    <t>66 Decreto 6514; 70 1º Lei 9605; 72 Lei 9605; 3º II Decreto 6514; 3º IX Decreto 6514.</t>
  </si>
  <si>
    <t>41KPDIKF</t>
  </si>
  <si>
    <t>TRANSPORTAR 15,456 M3 (METROS CÚBICOS) DE MADEIRA SERRADA, SEM LICENÇA PARA TODO O TEMPO DA VIAGEM, OUTORGADA PELA AUTORIDADE COMPETENTE.</t>
  </si>
  <si>
    <t>Açailândia</t>
  </si>
  <si>
    <t>ANTONIO FRANCISCO DA CONCEIÇÃO</t>
  </si>
  <si>
    <t>Unidade Descentralizada do ICMBIO.
Rodovia BR 222, Km 10 - Povoado Pequiá - Açailândia - MA -</t>
  </si>
  <si>
    <t>SYYCVUQD</t>
  </si>
  <si>
    <t>Receber, para fins comerciais, 187,0838 m³ de madeira serrada, sem licença válida outorgada pela autoridade competente, através dos DOF 17205805, 16758228, 17485052, 16220005, 16579094, 17052064.</t>
  </si>
  <si>
    <t>Nossa Senhora da Glória</t>
  </si>
  <si>
    <t>EMPORIO MADEIRAS LTDA ME</t>
  </si>
  <si>
    <t>Pátio da empresa Empório Madeiras LTDA</t>
  </si>
  <si>
    <t>47 Decreto 6514/2008.</t>
  </si>
  <si>
    <t>43, - IN 21/2014; 48, VI IN 21/2014.</t>
  </si>
  <si>
    <t>E</t>
  </si>
  <si>
    <t>Destruir 213,5 há de floresta nativa na região Amazônica, objeto de especial preservação, sem licença outorgada pela autoridade ambiental competente, no poligono de coordenadas centrais 9°28'7,65''S e 65°34'49,65''S W, ID2019AWS000010732, conforme mapa com analise temporal de imagens.</t>
  </si>
  <si>
    <t>Fazenda Alvorada, Vista Alegre-Porto Velho-RO</t>
  </si>
  <si>
    <t>70 1° 72 II,VII Lei 9605/98; 3 II,VII 50 Decreto 6514/2008.</t>
  </si>
  <si>
    <t>X0W1Y054</t>
  </si>
  <si>
    <t>Ter em cativeiro dois espécimes da Fauna Silvestre Brasileira, listados na CITES, anexo II (01 papagaio verdadeiro e um periquito da caatinga), sem a licença do Órgão Ambiental competente.</t>
  </si>
  <si>
    <t>Parambu</t>
  </si>
  <si>
    <t>Antonio Vieira dos Santos</t>
  </si>
  <si>
    <t>70 §1º 72 Lei 9605/98; 3º II-IV 24 §3° II, III Decreto 6514/2008.</t>
  </si>
  <si>
    <t>KF3TAFHH</t>
  </si>
  <si>
    <t>Guardar duas partes de Caititu (animais da Fauna nativa brasileira, sem do um pernil congelado e uma pele curtida antiga.</t>
  </si>
  <si>
    <t>Edilson Vieira</t>
  </si>
  <si>
    <t>NQ1G3K8O</t>
  </si>
  <si>
    <t>Receber, para fins comerciais, 17 m3 de madeira serrada, do bioma amazônico (Manilkara huberi), sem licença valida outorgada pela autoridade competente, através dos DOF 16758277e 16579079.</t>
  </si>
  <si>
    <t>Moita Bonita</t>
  </si>
  <si>
    <t>MATECARPE MADEIRAS E CONSTRUCOES LTDA</t>
  </si>
  <si>
    <t>Pátio da Madeireira Matecarpe</t>
  </si>
  <si>
    <t>43, único In IBAMA 21/2014; 48, VI IN IBAMA 21/2014.</t>
  </si>
  <si>
    <t>1JKVKJHX</t>
  </si>
  <si>
    <t>Apresentar informação falsa no sistema oficial de controle (SISFLORA) ao manter no saldo em esplanada no sistema a volumetria de 160,1645 m³ em créditos madeira em tora sem o devido correspondente físico dos produtos na data da fiscalização "in loco".</t>
  </si>
  <si>
    <t>Paragominas</t>
  </si>
  <si>
    <t>JOSMAR GILSON DE OLIVEIRA MATOGROSSO COSTA</t>
  </si>
  <si>
    <t>Área do PMFS UPA xxx</t>
  </si>
  <si>
    <t>3V93V6FF</t>
  </si>
  <si>
    <t>DEIXAR DE APRESENTAR RELATÓRIOS NOS PRAZOS EXIGIDOS PELA LEGISLAÇÃO VIGENTE, REFERENTE AO ANO DE 2019/2018. PROCESSO Nº 02007.001580/2011.</t>
  </si>
  <si>
    <t>Aquiraz</t>
  </si>
  <si>
    <t>F.R.BASTOS DE OLIVEIRA</t>
  </si>
  <si>
    <t>RODOVIA CE 040, KM 13, POSTO FAZENDA</t>
  </si>
  <si>
    <t>ROTINA NOV-DEZ</t>
  </si>
  <si>
    <t>3º, 81, II DECRETO FEDERAL Nº 6.514/08.</t>
  </si>
  <si>
    <t>CA0T3VRH</t>
  </si>
  <si>
    <t>Deixar de se inscrever no Cadastro Técnico Federal de que trata o art. 17 da Lei n° 6938, de 1981.</t>
  </si>
  <si>
    <t>Canoas</t>
  </si>
  <si>
    <t>RESISUL COLETA DE RESÍDUOS PERIGOSOS LTDA</t>
  </si>
  <si>
    <t>Bairro Marechal Rondon</t>
  </si>
  <si>
    <t>76 Decreto 6514; 70 1º Lei 9605; 72 Lei 9605; 3º II Decreto 6514.</t>
  </si>
  <si>
    <t>TUGWCFO2</t>
  </si>
  <si>
    <t>FAZER FUNCIONAR ATIVIDADE DE CARCINICULTURA, SEM AUTORIZAÇÃO DA AUTORIDADE AMBIENTE COMPETENTE, NA LOCALIDADE DE COACU, ZONA RURAL.</t>
  </si>
  <si>
    <t>Beberibe</t>
  </si>
  <si>
    <t>ASSOCIAÇÃO COMUN. DOS PRODUTORES DE PARAJURU</t>
  </si>
  <si>
    <t>LOCALIDADE DE COACU, S/Nº, ZONA RURAL</t>
  </si>
  <si>
    <t>72 Lei 9605/98; 70 § 1 Lei 9605/98; 3 Inc. 2,7 Decreto 6514/2008.</t>
  </si>
  <si>
    <t>3º, 66, II,VVII DECRETO FEDERAL Nº 6.514/08.</t>
  </si>
  <si>
    <t>MVA5FT1S</t>
  </si>
  <si>
    <t>Armazenar produto perigoso nocivo à saúde humana e ao meio ambiente,  em desacordo com as exigências estabelecidas em Leis ou em seus regulamentos.</t>
  </si>
  <si>
    <t>Bairro Marechal Rondon.</t>
  </si>
  <si>
    <t>64 Decreto 6514; 70 1º Lei 9605; 72 Lei 9605; 3º II Decreto 6514; 3º IV Decreto 6514; 3º VII Decreto 6514.</t>
  </si>
  <si>
    <t>I4ZWPH3I</t>
  </si>
  <si>
    <t>Transportar 41 m3 de madeiras serradas em desacordo com a licença obtida.</t>
  </si>
  <si>
    <t>Adriano José Vicensi</t>
  </si>
  <si>
    <t>Posto da Polícia Rodoviária Federal</t>
  </si>
  <si>
    <t>YERSZGQ0</t>
  </si>
  <si>
    <t>Inserir informação falsa ou enganosa em sistemas oficiais ao realizar operação de troca de mãe sem que tenha ocorrido óbito, fuga, roubo ou furto, contrariando as normas legais.</t>
  </si>
  <si>
    <t>São José dos Campos</t>
  </si>
  <si>
    <t>VALDINEI DE FARIA</t>
  </si>
  <si>
    <t>Rua Pico do Jaraguá, 132</t>
  </si>
  <si>
    <t>4HU7NMQ2</t>
  </si>
  <si>
    <t>ARMAZENAR PRODUTOS PERIGOS ( ÓLEO DIESEL E ANÔNIMO), SEM O LICENCIAMENTO DO ORGÃO AMBIENTAL COMPETENTE, (DOIS TANQUES COM CAPACIDADE DE ARMAZENAMENTO DE TRINTA MIL LITROS DE ÓLEO DIESEL).</t>
  </si>
  <si>
    <t>Luís Correia</t>
  </si>
  <si>
    <t>CAPTURA E COMERCIO DE PESCADO ANCHIÊTA E CIA LTDA</t>
  </si>
  <si>
    <t>AV JOSÉ MARIA DE LIMA, 53, CENTRO, LUIS CORREIA, PI</t>
  </si>
  <si>
    <t>3º, 66, II, VII DECRETO FEDERAL Nº 6.514/08.</t>
  </si>
  <si>
    <t>YPR1E8P0</t>
  </si>
  <si>
    <t>Efetuar a Plataforma FPSO Cidade de Ilhabela, no dia 14 de junho de 2019, o descarte de água produzida em desacordo com a regulamentação específica. Teor de Oleos e Graxas - TOG de 53 mg/l, superior ao valor máximo de 42 mg/l estabelecido pela Resolução CONAMA 393/2007.</t>
  </si>
  <si>
    <t>Ilhabela</t>
  </si>
  <si>
    <t>PETRÓLEO BRASILEIRO S.A.</t>
  </si>
  <si>
    <t>Campo de Sapinhoa</t>
  </si>
  <si>
    <t>25 V Lei 9966; 70 1º Lei 9605; 72 Lei 9605; 3º II Decreto 6514.</t>
  </si>
  <si>
    <t>38, caput Decreto 4.136/2002.</t>
  </si>
  <si>
    <t>6BM9ZQ15</t>
  </si>
  <si>
    <t>DESCUMPRIR EMBARGO Nº 797659/E, COM A CONCLUSÃO DA OBRA E REFORMA DE UMA BARRACA.</t>
  </si>
  <si>
    <t>Outras</t>
  </si>
  <si>
    <t>Acaraú</t>
  </si>
  <si>
    <t>MARIA ADÉLIA DE JESUS F. DUARTE CAMPELO</t>
  </si>
  <si>
    <t>PRAIA DA BARRINHA DE BAIXO, S/Nº, ZONA RURAL</t>
  </si>
  <si>
    <t>3º, 79, II DECRETO FED; 3º, 79, II DECRETO FEDERAL Nº 6.514/08.</t>
  </si>
  <si>
    <t>6OK11B55</t>
  </si>
  <si>
    <t>Efetuar a Plataforma Petrobras XLVIII (P-48), no dia 11 de julho de 2014, o descarte de água produzida em desacordo com a regulamentação específica. Teor de Oleos e Graxas - TOG superior ao valor máximo de 42 mg/l estabelecido pela Resolução CONAMA 393/2007.</t>
  </si>
  <si>
    <t>Macaé</t>
  </si>
  <si>
    <t>Campo de Caratinga, Barracuda</t>
  </si>
  <si>
    <t>JIB58N7T</t>
  </si>
  <si>
    <t>Deixar de atender a Condicionante Específica 2.2: subprograma de Gerenciamento de Resíduos Solidos da Licença de Instalação - Li n° 963/2013 - 5° retificação, conforme Parecer Técnico n° xxx.</t>
  </si>
  <si>
    <t>São Gonçalo do Amarante</t>
  </si>
  <si>
    <t>SECRETARIA DE INFRA-ESTRUTURA</t>
  </si>
  <si>
    <t>Complexo Portuário do Pecém</t>
  </si>
  <si>
    <t>ZC2YWUK9</t>
  </si>
  <si>
    <t>Efetuar a Plataforma Petrobras 31 (P-31), no dia 04 de julho de 2017, o descarte de água produzida em desacordo com a regulamentação específica. Teor de Oleos e Graxas - TOG de 57 mg/l, superior ao valor máximo de 42 mg/l estabelecido pela Resolução CONAMA 393/2007.</t>
  </si>
  <si>
    <t>Presidente Kennedy</t>
  </si>
  <si>
    <t>PETROLEO BRASILEIRO SA PETROBRAS - UO-ES</t>
  </si>
  <si>
    <t>Campo de Albacora</t>
  </si>
  <si>
    <t>YN4QQS5H</t>
  </si>
  <si>
    <t>Ter em cativeiro especie 01 papagaio da Fauna Silvestre Brasileira</t>
  </si>
  <si>
    <t>Tamboril</t>
  </si>
  <si>
    <t>Antonio Jofran Rodrigues de Paiva</t>
  </si>
  <si>
    <t>na Fazenda Ramalhete</t>
  </si>
  <si>
    <t>819H1MBT</t>
  </si>
  <si>
    <t>Efetuar a Plataforma Petrobras 31 (P-31), no dia 03 de julho de 2017, o descarte de água produzida em desacordo com a regulamentação específica. Teor de Oleos e Graxas - TOG de 95 mg/l, superior ao valor máximo de 42 mg/l estabelecido pela Resolução CONAMA 393/2007.</t>
  </si>
  <si>
    <t>MN33MMMS</t>
  </si>
  <si>
    <t>Destruir (desmatar) 62,9576 há de floresta nativa em área de especial preservação (Amazônia Legal) sem autorização do Órgão ambiental competente, conforme carta imagem em anexo. ID. 2018AWS000026237.</t>
  </si>
  <si>
    <t>Costa Marques</t>
  </si>
  <si>
    <t>ROSINEIA CONCEIÇÃO DOS SANTOS ARAÚJO</t>
  </si>
  <si>
    <t>Linha 21 G, km 08, Zona Rural do Município de Costa Marques - RO</t>
  </si>
  <si>
    <t>DES GCDA BASE XXXI</t>
  </si>
  <si>
    <t>0LFKBV8Q</t>
  </si>
  <si>
    <t>Inserir informação falsa ou enganosa em sistemas oficiais de controle ao declarar nascimento em data divergente do informado em documento oficial constante do processo 02027.006630/2019-33.</t>
  </si>
  <si>
    <t>Itaquaquecetuba</t>
  </si>
  <si>
    <t>EDIVALDO DE SOUZA SILVA</t>
  </si>
  <si>
    <t>Rua Ciro Monteiro, 174</t>
  </si>
  <si>
    <t>XPWO5O7W</t>
  </si>
  <si>
    <t>Receber, para fins comerciais, 30,0000 m³ de madeira serrada, sem licença válida outorgada pela autoridade competente, através dos DOF 17122882, 17123073 e Notas Fiscais 410 e 412.</t>
  </si>
  <si>
    <t>LAGARTO MADEIRAS LTDA ME</t>
  </si>
  <si>
    <t>Pátio da empresa Lagarto Madeiras LTDA</t>
  </si>
  <si>
    <t>PREVIA DOF MANILKARA</t>
  </si>
  <si>
    <t>70 § 1 72 II,IV Lei 9605/98; 3 II,IV 47 Decreto 6514/2008; 48 VI 43 Instrução Normativa Ibama 21/2013.</t>
  </si>
  <si>
    <t>48, VI IN 21)2014; 43, . IN 21/2014.</t>
  </si>
  <si>
    <t>B4QGOWGK</t>
  </si>
  <si>
    <t>FAZER FUNCIONAR ATIVIDADE POTENCIALMENTE POLUIDORA, FABRICAÇÃO DE GESSO, SEM A LICENÇA DE OPERAÇÃO EMITIDA PELO ÓRGÃO AMBIENTAL COMPETENTE.</t>
  </si>
  <si>
    <t>BRINGESSO LTDA - ME</t>
  </si>
  <si>
    <t>Fazenda Lagoa de Dentro, S/N , destrito indústria Cep. 56280000, Zona Rural, Araripina/PE.</t>
  </si>
  <si>
    <t>B4QGGWGK</t>
  </si>
  <si>
    <t>Fazer funcionar atividade potencialmente poluidora, fabricação de gesso sem licença de operação emitida pelo órgão ambiental competente</t>
  </si>
  <si>
    <t>Fazenda Lagoa de Dentro S/N, Distrito industrial , CEP 5628000</t>
  </si>
  <si>
    <t>70  § 1° - Lei 9605/98; 72 - - - Lei 9605/98; 3 II, IX 66 § único Decreto 6514/2008.</t>
  </si>
  <si>
    <t>9FZN2YKY</t>
  </si>
  <si>
    <t>Apresentar informações falsas em sistemas oficiais de controle ao utilizar ferramentas de vinculação de anilhas entre fêmeas sem que tenha ocorrido fuga, roubo ou furto, contrariando o estabelecido em normativos legais.</t>
  </si>
  <si>
    <t>Mogi Guaçu</t>
  </si>
  <si>
    <t>RODRIGO PEREIRA SILVA</t>
  </si>
  <si>
    <t>Antenor Benedito da Cunha 41 casa 11</t>
  </si>
  <si>
    <t>CQOQCGWE</t>
  </si>
  <si>
    <t>Transportar 250 Kg (duzentos e cinquenta quilos) de pescado (polvo) sem comprovação de origem ou autorização do orgão competente no veículo de placa OWA3427.</t>
  </si>
  <si>
    <t>Natal</t>
  </si>
  <si>
    <t>RN</t>
  </si>
  <si>
    <t>JOAO EDUARDO DA SILVA</t>
  </si>
  <si>
    <t>Av Airton Senna, 3134.</t>
  </si>
  <si>
    <t>ROTINA - MDT/2019</t>
  </si>
  <si>
    <t>35 Inc. 4 Decreto 6514/2008.</t>
  </si>
  <si>
    <t>22V3F4CU</t>
  </si>
  <si>
    <t>Deixar de atender a condicionante 1.5 da Autorização de Captura, Coleta e Transporte de Material Biológico - ABIO n° 503/2014(Retificação), conforme Parecer Técnico n° xxx.</t>
  </si>
  <si>
    <t>V5XX6L2M</t>
  </si>
  <si>
    <t>Transportar 3 MDC de carvão de origem vegetal nativo sem licença válida para todo tempo de viagem.</t>
  </si>
  <si>
    <t>Infração da Flora não classificada - Advertência</t>
  </si>
  <si>
    <t>Pedro de Sousa Bandeira</t>
  </si>
  <si>
    <t>BR 402 Km 34</t>
  </si>
  <si>
    <t>47 1º Decreto 6514; 70 1º Lei 9605; 72 Lei 9605; 3º I Decreto 6514; 3º IV Decreto 6514.</t>
  </si>
  <si>
    <t>PJ5Z27XW</t>
  </si>
  <si>
    <t>Fica proibido o armazenamento o transporte terrestre ou aquático de marambaia montadas ou do material utilizado para confecção ou montagem de marambaia, como tonéis, folhas de zinco para ser empregada para está finalidade sem autorização ou licença da autoridade ambiental competente.</t>
  </si>
  <si>
    <t>Icapuí</t>
  </si>
  <si>
    <t>Maria Lucilene Ribeiro de Carvalho</t>
  </si>
  <si>
    <t>Tremembé-Ce</t>
  </si>
  <si>
    <t>7, 1 IN número 170\2008.</t>
  </si>
  <si>
    <t>CSM06CD4</t>
  </si>
  <si>
    <t>Efetuar a Plataforma FPSO Frade, no dia 16 de fevereiro de 2019, o descarte de água produzida em desacordo com a regulamentação específica. Teor de Oleos e Graxas - TOG de 146 mg/l, superior ao valor máximo de 42 mg/l estabelecido pela Resolução CONAMA 393/2007.</t>
  </si>
  <si>
    <t>PETRO RIO JAGUAR PETROLEO LTDA</t>
  </si>
  <si>
    <t>Campo de Frade</t>
  </si>
  <si>
    <t>RR0S1PDY</t>
  </si>
  <si>
    <t>Efetuar a Plataforma Petrobras XVIII  (SS44) (P-18), no dia 13 de fevereiro de 2018, o descarte de água produzida em desacordo com a regulamentação específica. Teor de Oleos e Graxas - TOG de 247 mg/l, superior ao valor máximo de 42 mg/l estabelecido pela Resolução CONAMA 393/2007.</t>
  </si>
  <si>
    <t>PETROBRAS - PETROLEO BRASILEIRO S.A.</t>
  </si>
  <si>
    <t>Campo de Marlim</t>
  </si>
  <si>
    <t>RH33D20U</t>
  </si>
  <si>
    <t>Efetuar a Plataforma Petrobras XVIII  (SS44) (P-18), no dia 11 de fevereiro de 2018, o descarte de água produzida em desacordo com a regulamentação específica. Teor de Oleos e Graxas - TOG de 93 mg/l, superior ao valor máximo de 42 mg/l estabelecido pela Resolução CONAMA 393/2007.</t>
  </si>
  <si>
    <t>J0PIN0BM</t>
  </si>
  <si>
    <t>Fazer uso de fogo em área agropastoril  de 15,9 hectares, sem autorização do órgão competente, conforme memorial descritivo anexo ao processo.</t>
  </si>
  <si>
    <t>José Raimundo Reis Araujo</t>
  </si>
  <si>
    <t>sítio Donato, zona rural do município de Mucugê/ BA.</t>
  </si>
  <si>
    <t>LN2BZFHN</t>
  </si>
  <si>
    <t>Deixar de apresentar informações ambientais nos prazos exigidos pela legislação, ao não declarar nascimento de passeriformes no SISPASS após receber anilhas validas.</t>
  </si>
  <si>
    <t>Osasco</t>
  </si>
  <si>
    <t>JUVENIL ROLDAO</t>
  </si>
  <si>
    <t>Passagem Maestro José Augusto de Oliveira 22</t>
  </si>
  <si>
    <t>6HF8TDDV</t>
  </si>
  <si>
    <t>FRANCISCO AGLAILTON PEREIRA E GESSO ME</t>
  </si>
  <si>
    <t>BRÁS GESSO ARARIPINA PE</t>
  </si>
  <si>
    <t>8IS4TGGC</t>
  </si>
  <si>
    <t>Descumprir o Termo de Embargo 411079-C , de atividades e suas respectivas áreas.</t>
  </si>
  <si>
    <t>Santa Cruz do Xingu</t>
  </si>
  <si>
    <t>Carlos Alberto de Oliveira Guimarães</t>
  </si>
  <si>
    <t>Fazenda Bacuri</t>
  </si>
  <si>
    <t>R90N0WRK</t>
  </si>
  <si>
    <t>Danificar floresta ou demais formas de vegetação natural em área de 0,8 hectares considerada de preservação permanente, sem autorização do órgão competente, no sítio Donato, conforme memorial descritivo anexo ao processo.</t>
  </si>
  <si>
    <t>sítio Donato, zona rural do município de Mucugê.</t>
  </si>
  <si>
    <t>39MX3YJB</t>
  </si>
  <si>
    <t>Efetuar a Plataforma Petrobras - 31 (FPSO P-31), no dia 30 de abril de 2018, o descarte de água produzida em desacordo com a regulamentação específica. Teor de Oleos e Graxas - TOG de 50 mg/l, superior ao valor máximo de 42 mg/l estabelecido pela Resolução CONAMA 393/2007.</t>
  </si>
  <si>
    <t>FVA30X42</t>
  </si>
  <si>
    <t>Receber para fins industriais 14.343 st de lenha nativa, sem exigir a exibição da licença DOF do vendedor do produto florestal (lenha) outorgada pela autoridade ambiental competente.</t>
  </si>
  <si>
    <t>Maracanaú</t>
  </si>
  <si>
    <t>Receber ou adquirir, para fins comerciais ou industriais, madeira serrada ou em tora, lenha, carvão ou outros produtos de origem vegetal, sem exigir a exibição de licença do vendedor, e sem munir-se da via que deverá acompanhar o produto até final beneficiamento.</t>
  </si>
  <si>
    <t>COBAP COMÉRCIO E BENEF. DE ARTEFATOS DE PAPEL LTDA</t>
  </si>
  <si>
    <t>no endereço do autuada</t>
  </si>
  <si>
    <t>70 §1º 72 Lei 9605/98; 3º II 47 1º Decreto 6514/2008.</t>
  </si>
  <si>
    <t>TY2PWLKP</t>
  </si>
  <si>
    <t>Efetuar a Plataforma de Namorado - 2 (PNA-2), no dia 06 de janeiro de 2017, o descarte de água produzida em desacordo com a regulamentação específica. Teor de Oleos e Graxas - TOG de 68 mg/l, superior ao valor máximo de 42 mg/l estabelecido pela Resolução CONAMA 393/2007.</t>
  </si>
  <si>
    <t>Campo de Namorado</t>
  </si>
  <si>
    <t>25 Inc. 5 Lei 9966/00.</t>
  </si>
  <si>
    <t>KO0RIYR3</t>
  </si>
  <si>
    <t>Efetuar a Plataforma Petrobras XXXVII (FPSO P-37), no dia 29 de junho de 2017, o descarte de água produzida em desacordo com a regulamentação específica. Teor de Oleos e Graxas - TOG de 52 mg/l, superior ao valor máximo de 42 mg/l estabelecido pela Resolução CONAMA 393/2007.</t>
  </si>
  <si>
    <t>BA9J6VZH</t>
  </si>
  <si>
    <t>Fazer uso de fogo em áreas agropastoris de 11,0514 hectares, sem autorização do órgão competente na fazenda água, conforme mapa anexo ao processo.</t>
  </si>
  <si>
    <t>LAVOURA E PECUARIA IGARASHI LTDA</t>
  </si>
  <si>
    <t>Fazenda Água Boa - Mat. xxx</t>
  </si>
  <si>
    <t>HU6PMFLL</t>
  </si>
  <si>
    <t>Deixar de entregar os relatórios anuais de atividades potencialmente poluidoras ou utilizadoras de recursos ambientais, referente aos anos 2018/2017 e 2019/2018 no prazo exigido pela legislação.</t>
  </si>
  <si>
    <t>Nova Andradina</t>
  </si>
  <si>
    <t>CERAMICA AZUMA LTDA</t>
  </si>
  <si>
    <t>Rua Santo Antônio, 1550/1555 - Centro Educacional</t>
  </si>
  <si>
    <t>ROTINA II</t>
  </si>
  <si>
    <t>3LYTBGUC</t>
  </si>
  <si>
    <t>Transportar 32,127 M3 de madeira serrada de essências diversas, sem licença para todo tempo da viagem outorgada pela autoridade competente.</t>
  </si>
  <si>
    <t>EUCLIDES FLAVIO GOMES DA ROCHA SILVA</t>
  </si>
  <si>
    <t>PRF, NA BR-316-KM,294 no município de Picos/PI</t>
  </si>
  <si>
    <t>BF9XSYBL</t>
  </si>
  <si>
    <t>Introduzir 01 (um) espécime animal silvestre exótico (Pantherophis guttatus - corn snake) no País, sem parecer técnico oficial favorável e licença expedida pela autoridade ambiental competente, conforme objeto postal DY731538394BR, enviado pelos Correios em 01/02/2018 e apreendido pelo IBAMA em 05/02/2018.</t>
  </si>
  <si>
    <t>25 1º I Decreto 6514; 70 1º Lei 9605; 72 Lei 9605; 3º II Decreto 6514.</t>
  </si>
  <si>
    <t>BSGOYYM3</t>
  </si>
  <si>
    <t>Transportar 02 (dois) espécimes da fauna silvestre nativa (Iguana iguana) sem licença da autoridade ambiental competente, através do objeto postal DY731538377BR, enviado pelos Correios em 01/02/2018 e apreendido pelo IBAMA em 05/02/2018.</t>
  </si>
  <si>
    <t>Rua Rio São Francisco, n° 575 - Parque das Águas - Ipatinga/ MG - CEP 35.164-413</t>
  </si>
  <si>
    <t>24 II Decreto 6514; 70 1º Lei 9605; 72 Lei 9605; 3º II Decreto 6514.</t>
  </si>
  <si>
    <t>JFVDHI9M</t>
  </si>
  <si>
    <t>Transportar 02 (dois) espécimes da fauna silvestre nativa (Iguana iguana, sendo um encontrado vivo e outro em óbito) sem licença da autoridade ambiental competente, através do objeto postal DY731538385, enviado pelos Correios em 01/02/2018 e apreendido pelo IBAMA em 05/02/2018.</t>
  </si>
  <si>
    <t>IC4ULNTZ</t>
  </si>
  <si>
    <t>Introduzir 01 (um) espécime animal silvestre exótico (Pantherophis guttatus - corn snake) no País, sem parecer técnico oficial favorável e licença expedida pela autoridade ambiental competente, conforme objeto postal DY731538346BR, enviado pelos Correios em 01/02/2018 e apreendido pelo IBAMA em 05/02/2018.</t>
  </si>
  <si>
    <t>5O4HB9F2</t>
  </si>
  <si>
    <t>Introduzir 01 (um) espécime animal silvestre exótico (Pantherophis guttatus - corn snake) no País, sem parecer técnico favorável e licença expedida pela autoridade ambiental competente, conforme objeto postal DY731538350BR, enviado pelos Correios em 01/02/2018 e apreendido pelo IBAMA em 05/02/2018.</t>
  </si>
  <si>
    <t>B3MDAF4K</t>
  </si>
  <si>
    <t>Transportar 01 (um) espécime da fauna silvestre nativa (Iguana iguana) sem licença da autoridade ambiental competente, através do objeto postal DY731538350BR, enviado pelos Correios em 01/02/2018 e apreendido pelo IBAMA em 05/02/2018.</t>
  </si>
  <si>
    <t>Rua Rio São Francisco, n. 575 - Parque das Águas - Ipatinga/MG</t>
  </si>
  <si>
    <t>L4325TA3</t>
  </si>
  <si>
    <t>Eriton José Pessoa Da Silva</t>
  </si>
  <si>
    <t>PRF DE PICOS/PI BR-316-KM-294</t>
  </si>
  <si>
    <t>JZBQYSWU</t>
  </si>
  <si>
    <t>Transportar 2931 Kg de pescado de diversas espécies, sem comprovação de origem ou autorização do órgão competente.</t>
  </si>
  <si>
    <t>Carlos Eduardo Alves da Fonseca</t>
  </si>
  <si>
    <t>Porto da CDP de Óbidos</t>
  </si>
  <si>
    <t>3FLUEC06</t>
  </si>
  <si>
    <t>Efetuar a Plataforma de Cherne - 2 (PCH-2), no mês março de 2018, o descarte de água produzida em desacordo com a regulamentação específica. Teor de Oleos e Graxas - TOG com valor Medio Mensal de 127 mg/l, superior ao valor máximo de 29 mg/l estabelecido pela Resolução CONAMA 393/2007.</t>
  </si>
  <si>
    <t>Campo de Cherne</t>
  </si>
  <si>
    <t>38, caput Decreto 4.137/2002.</t>
  </si>
  <si>
    <t>WKC40O5E</t>
  </si>
  <si>
    <t>Efetuar a Plataforma de Cherne - 2 (PCH-2), no dia 08 de julho de 2018, o descarte de água produzida em desacordo com a regulamentação específica. Teor de Oleos e Graxas - TOG de 60 mg/l, superior ao valor máximo de 42 mg/l estabelecido pela Resolução CONAMA 393/2007.</t>
  </si>
  <si>
    <t>38, caput Decreto 4.136/2002 .</t>
  </si>
  <si>
    <t>RX96JLN1</t>
  </si>
  <si>
    <t>Introduzir 01 (um) espécime animal silvestre exótico (lagarto Pogona sp.) no País, sem parecer técnico oficial favorável e licença expedida pela autoridade ambiental competente, conforme objeto postal DY731538363BR, enviado pelos Correios em 01/02/2018 e apreendido pelo IBAMA em 05/02/2018.</t>
  </si>
  <si>
    <t>25 Inc. 1, § 1 Decreto 6514/2008.</t>
  </si>
  <si>
    <t>6ASV7BMQ</t>
  </si>
  <si>
    <t>Efetuar a Plataforma de Namorado - 1  (PNA-1), no dia 23 de março de 2018, o descarte de água produzida em desacordo com a regulamentação específica. Teor de Oleos e Graxas - TOG de 195 mg/l, superior ao valor máximo de 42 mg/l estabelecido pela Resolução CONAMA 393/2007.</t>
  </si>
  <si>
    <t>PETROLEO BRASILEIRO SA PETROBRAS - UN-ES</t>
  </si>
  <si>
    <t>Campo de Congro, Namorado</t>
  </si>
  <si>
    <t>9H03MAGK</t>
  </si>
  <si>
    <t>Deixar de atender as condicionantes específicas 2.5 Executar todos os programas ambientais com agregação das ressalvas de cada Programa.</t>
  </si>
  <si>
    <t>Brasília</t>
  </si>
  <si>
    <t>DF</t>
  </si>
  <si>
    <t>DNIT-DEPARTAMENTO NACIONAL DE INFRAEST DE TRANSPORTES</t>
  </si>
  <si>
    <t>Cofis CGFIS Dipro</t>
  </si>
  <si>
    <t>66, inciso II Decreto 6514/2008.</t>
  </si>
  <si>
    <t>KTUTMFYX</t>
  </si>
  <si>
    <t>Deixar aquele que tem obrigação, de dar destinação ambientalmente adequada a embalagems de agrotóxicos quando assim determinar a lei.</t>
  </si>
  <si>
    <t>Pedras de Fogo</t>
  </si>
  <si>
    <t>Usina Giasa Ltda</t>
  </si>
  <si>
    <t>Fazenda Ibura SN Zona Rural</t>
  </si>
  <si>
    <t>AGR CERES</t>
  </si>
  <si>
    <t>53, . Decreto 4074/2002.</t>
  </si>
  <si>
    <t>MJPCTEQ2</t>
  </si>
  <si>
    <t>Efetuar a Plataforma de Cherne - 2  (PCH-II), no dia 01 de setembro de 2018, o descarte de água produzida em desacordo com a regulamentação específica. Teor de Oleos e Graxas - TOG de 1221 mg/l, superior ao valor máximo de 42 mg/l estabelecido pela Resolução CONAMA 393/2007.</t>
  </si>
  <si>
    <t>IXQMIL84</t>
  </si>
  <si>
    <t>Deixar de atender a exigências legais ou regulamentares quando devidamente notificado pela autoridade ambiental competente no prazo concedido, visando a regularização de medidas de controle para cessar a degradação ambiental (Notificação n°1/2018-NLA-RN).</t>
  </si>
  <si>
    <t>Arês</t>
  </si>
  <si>
    <t>BIOSEV S.A</t>
  </si>
  <si>
    <t>Usina Estivas</t>
  </si>
  <si>
    <t>9° , . Resolução CONAMA n° 237/1997.</t>
  </si>
  <si>
    <t>FCA1V6GY</t>
  </si>
  <si>
    <t>Deixar de atender as condicionantes 2.1, 2.2 e 2.3 da ASV n° xxx, e de sua respectiva renovação Autorização n° xxx, conforme Parecer Técnico n° xxx.</t>
  </si>
  <si>
    <t>Barragem do Riacho da Prata</t>
  </si>
  <si>
    <t>FORÇA TAREFA 2019 - V</t>
  </si>
  <si>
    <t>66 § 1 72 Lei 9605/98; 3 II 66 § único Decreto 6514/2008.</t>
  </si>
  <si>
    <t>WGDXU0S6</t>
  </si>
  <si>
    <t>Efetuar a Plataforma FPSO Cidade de Vitoria (CVIX), no dia 24 de dezembro de 2016, o descarte de água produzida em desacordo com a regulamentação específica. Teor de Oleos e Graxas - TOG de 47 mg/l, superior ao valor máximo de 53 mg/l estabelecido pela Resolução CONAMA 393/2007.</t>
  </si>
  <si>
    <t>Campo de Golfinho</t>
  </si>
  <si>
    <t>86M85A0F</t>
  </si>
  <si>
    <t>Efetuar a Plataforma FPSO Cidade de Vitoria (CVIX), no dia 19 de dezembro de 2016, o descarte de água produzida em desacordo com a regulamentação específica. Teor de Oleos e Graxas - TOG de 47 mg/l, superior ao valor máximo de 42 mg/l estabelecido pela Resolução CONAMA 393/2007.</t>
  </si>
  <si>
    <t>D01IP6OE</t>
  </si>
  <si>
    <t>Ter em deposito produtos toxico a saude Humana e perigoso ao Meio Ambiente do produtos Novomectin 228 (Benzoato de Emamectina), Agrotoxico uruguaio sem registro no Brasil, em desacordo com as exigencias estabelecidas.</t>
  </si>
  <si>
    <t>Santa Bárbara do Sul</t>
  </si>
  <si>
    <t>PAULO ROBERTO CASTRO SAMPAIO</t>
  </si>
  <si>
    <t>propriedade rural de xxx</t>
  </si>
  <si>
    <t>64 Decreto 6514/2008.</t>
  </si>
  <si>
    <t>3, caput Lei Federal 7802/1989.</t>
  </si>
  <si>
    <t>PB4BCWCL</t>
  </si>
  <si>
    <t>Ter em depósito 84,5062m3 de madeiras em tiras e serrada, sendo 42,1395m3 de madeiras em toras e 42,367m de madeira serrada, sem licença valida, comprovando a origem e o depósito ilegal da madeira.</t>
  </si>
  <si>
    <t>BARTH &amp; BARTH IND. COM. E TRANSP. DE MAD. LTDA-ME</t>
  </si>
  <si>
    <t>Barth e Barth Ind. Comércio e Transportes de Madeira Ltda.
Rua Mundo Novo, 780
Setor Industrial -Tucumã -PA</t>
  </si>
  <si>
    <t>39U486FT</t>
  </si>
  <si>
    <t>Deixar de atender a condicionante 2.16 da Licença de Operação LO n° 1.379/2017, conforme Parecer Técnico n° xxx.</t>
  </si>
  <si>
    <t>Plataformas P-25 e P-21</t>
  </si>
  <si>
    <t>168NSSE6</t>
  </si>
  <si>
    <t>Inserir informação falsa ou enganosa em sistemas oficiais de controle ao declarar nascimento em data diferente do informado em requerimento específico.</t>
  </si>
  <si>
    <t>SAMUEL TEIXEIRA DE OLIVEIRA</t>
  </si>
  <si>
    <t>Rua Eugênia de Carvalho, 1487, casa fundos</t>
  </si>
  <si>
    <t>35, Parágrafo 2º IN 10/2011.</t>
  </si>
  <si>
    <t>MZI63OKC</t>
  </si>
  <si>
    <t>Transportar 30 M3 de madeira serrada de essências diversas, sem licença da autoridade competente.</t>
  </si>
  <si>
    <t>ANAELSON REIS SILVA</t>
  </si>
  <si>
    <t>Posto da PRF em Picos Piauí, BR 316 KM. 294</t>
  </si>
  <si>
    <t>0NB4998T</t>
  </si>
  <si>
    <t>TRANSPORTAR ESPÉCIMES DA FAUNA SILVESTRE BRASILEIRA SEM AUTORIZAÇÃO DO ÓRGÃO AMBIENTAL COMPETENTE.</t>
  </si>
  <si>
    <t>Rio Novo do Sul</t>
  </si>
  <si>
    <t>AGUILAR FERRI</t>
  </si>
  <si>
    <t>BR 101  SUL KM 392 RIO NOVO DO SUL</t>
  </si>
  <si>
    <t>ROTINA VII</t>
  </si>
  <si>
    <t>ZAZZ7D1J</t>
  </si>
  <si>
    <t>Efetuar a Plataforma de Cherne - 2 (PCH-2), no dia 27 de junho de 2018, o descarte de água produzida em desacordo com a regulamentação específica. Teor de Oleos e Graxas - TOG de 59 mg/l, superior ao valor máximo de 42 mg/l estabelecido pela Resolução CONAMA 393/2007.</t>
  </si>
  <si>
    <t>NP8ZVXMH</t>
  </si>
  <si>
    <t>Descumprir embargo de atividade, empreendimento potencialmente poluidora, fabricação e reparo de embarcações.
Termo de Embargo número 578507/C de 28 de Outubro de 2009.</t>
  </si>
  <si>
    <t>Camamu</t>
  </si>
  <si>
    <t>ELIAS MORENO MENDES</t>
  </si>
  <si>
    <t>Rua das pedrinhas, 9997' Centro, Cajaíba do Sul</t>
  </si>
  <si>
    <t>79 Decreto 6514/2008.</t>
  </si>
  <si>
    <t>RZ05BQ8B</t>
  </si>
  <si>
    <t>Ter em depósito 188,7438m³ de madeira em tora e serrada de diversas essências, sendo; 3,3064m³ madeira em tora da espécie Jatobá e 185,4374m³ de madeira serrada, incluíndo a espécie Castanheira e Mogno, sem licença válida comprovando a origem e o depósito ilegal da madeira.</t>
  </si>
  <si>
    <t>Itamar Matos da Silva</t>
  </si>
  <si>
    <t>Estrada do Laticínio, s/n°, Setor Industrial - Tucumã/PA</t>
  </si>
  <si>
    <t>JWVH5S5Z</t>
  </si>
  <si>
    <t>Efetuar a Plataforma Petrobras XXXV (P-35), no dia 27 de fevereiro de 2017, o descarte de água produzida em desacordo com a regulamentação específica. Teor de Oleos e Graxas - TOG de 48 mg/l, superior ao valor máximo de 42 mg/l estabelecido pela Resolução CONAMA 393/2007.</t>
  </si>
  <si>
    <t>GXY9ASPZ</t>
  </si>
  <si>
    <t>Fazer Funcionar atividade potencialmente poluidora e utilizadora de recursos naturais, fabricação de gesso, sem a licença válida outorgada pela autoridade ambiental competente.</t>
  </si>
  <si>
    <t>Amilton Arrais de Oliveira</t>
  </si>
  <si>
    <t>Gesso Imperador Araripina/PE.</t>
  </si>
  <si>
    <t>Z4JC4VW6</t>
  </si>
  <si>
    <t>Efetuar a Plataforma de Pampo - 1 (PPM-1), no dia 13 de fevereiro de 2017, o descarte de água produzida em desacordo com a regulamentação específica. Teor de Oleos e Graxas - TOG de 66 mg/l, superior ao valor máximo de 42 mg/l estabelecido pela Resolução CONAMA 393/2007.</t>
  </si>
  <si>
    <t>Campo de Pampo</t>
  </si>
  <si>
    <t>HUCNV328</t>
  </si>
  <si>
    <t>Apresentar informação falsa no sistema oficial de controle DOF, ao manter saldo virtual fictício não compatível com o estoque físico do pátio da empresa.</t>
  </si>
  <si>
    <t>ALTEVIR BUHRER CAMPOS</t>
  </si>
  <si>
    <t>Pátio da empresa Altevir Buhrer Campos</t>
  </si>
  <si>
    <t>SXLDUL8X</t>
  </si>
  <si>
    <t>Transportar 25,6 kg de pescado sendo 8,5 kg popularmente conhecido por pirapitinga e 17,1 kg popularmente conhecido por Tambaqui sem comprovante de origem ou autorização do órgão competente</t>
  </si>
  <si>
    <t>Jader Celestino Andrade Pinheiro</t>
  </si>
  <si>
    <t>Porto da CDP da cidade de Óbidos</t>
  </si>
  <si>
    <t>Y7ADA030</t>
  </si>
  <si>
    <t>Fazer funcionar atividade utilizadora de recursos naturais, considerada potencialmente poluidora (serraria), sem licença ou autorização emitida pelo Órgão Ambiental Competente.</t>
  </si>
  <si>
    <t>66 Decreto 6514; 70 1º Lei 9605; 72 Lei 9605; 3º II Decreto 6514; 3º VII Decreto 6514.</t>
  </si>
  <si>
    <t>WDC5RWZ2</t>
  </si>
  <si>
    <t>Efetuar a Plataforma Petrobras XXXV (P-35), no dia 15 de abril de 2017, o descarte de água produzida em desacordo com a regulamentação específica. Teor de Oleos e Graxas - TOG de 67 mg/l, superior ao valor máximo de 42 mg/l estabelecido pela Resolução CONAMA 393/2007.</t>
  </si>
  <si>
    <t>0A5Y5AIG</t>
  </si>
  <si>
    <t>Ter em cativeiro 16 aves silvestres da Fauna nativa brasileira, sem autorização ambiental.</t>
  </si>
  <si>
    <t>Castelo do Piauí</t>
  </si>
  <si>
    <t>Carlos Alberto Soares</t>
  </si>
  <si>
    <t>Q31Y1REF</t>
  </si>
  <si>
    <t>Deixar, aquele que tem obrigação, de dar destinação ambientalmente adequada a produtos agrotóxicos: 07 embalagens de 20l, 04 embalagens de 5l, 02 embalagens de 1l e 05 embalagens de 5kg.</t>
  </si>
  <si>
    <t>Alegrete</t>
  </si>
  <si>
    <t>Ricardo Maciel Weinmann</t>
  </si>
  <si>
    <t>Fazenda Primavera</t>
  </si>
  <si>
    <t>62, VI 6514/08.</t>
  </si>
  <si>
    <t>T3GIMAYX</t>
  </si>
  <si>
    <t>Ter em depósito 438,4790 metros cúbicos de madeira em toras sendo: 14,217 m3 de Dinizia excelsa, 17,200 m3 de Hymenolobium complicatum e 407,062 m3 de Manilkara huberi; e 286,5766 m3 de madeira serrada das espécies e produtos relacionados, sem licença válida outorgada pela autoridade competente.</t>
  </si>
  <si>
    <t>MADEREIRA IPE COM. IMP. EXP. LTDA - EPP</t>
  </si>
  <si>
    <t>MADEIREIRA IPE IND COM IMP EXP LTDA
Av. das Indústrias 907, Lotes 6,7,13,14
Distrito Industrial</t>
  </si>
  <si>
    <t>ULZFM1C9</t>
  </si>
  <si>
    <t>Desmatar, a corte raso, 13 hectares de vegetação nativa do Bioma Mata Atlântica, sem autorização da autoridade ambiental competente, nas coordenadas de referência 10º35'39"S e 37°15'32"W.</t>
  </si>
  <si>
    <t>Núcleo de Conciliação Ambiental/SE</t>
  </si>
  <si>
    <t>Santa Rosa de Lima</t>
  </si>
  <si>
    <t>ANDERSON FREITAS DE VASCONCELOS MELO</t>
  </si>
  <si>
    <t>Zona Rural</t>
  </si>
  <si>
    <t>9AJFXBB8</t>
  </si>
  <si>
    <t>Deixa de atender as condicionantes 1.1, 2.1, 2.2.1, 2.2.3, 2.2.6, 2.4, 2.6 e 2.7 da Licença de Operação (LO) n° 1.298/2015, conforme Paracer Técnico n° xxx</t>
  </si>
  <si>
    <t>Jijoca de Jericoacoara</t>
  </si>
  <si>
    <t>COMPANHIA DE ÁGUA E ESGOTO DO CEARÁ CAGECE</t>
  </si>
  <si>
    <t>Sistema de Esgotamento Sanitário da Vila de Jericoacoara</t>
  </si>
  <si>
    <t>ACN1XA6F</t>
  </si>
  <si>
    <t>Deixar de apresentar informações ambientais solicitadas no Ofício xxx, no prazo determinado pela autoridade ambiental, conforme Parecer xxx.
OBS: Auto de Infração lavrado em substituição ao AI 9212357/E, em atendimento à Decisão de 1 Instância Não Homologatória xxx.</t>
  </si>
  <si>
    <t>SECRETARIA DE ESTADO DA INFRAESTRUTURA E MOBILIDADE</t>
  </si>
  <si>
    <t>Rua Tenente Silveira, 162</t>
  </si>
  <si>
    <t>A44CXR8Z</t>
  </si>
  <si>
    <t>Efetuar a Plataforma de Cherne - 2 (PCH-II), no dia 02 de março de 2018, o descarte de água produzida em desacordo com a regulamentação específica. Teor de Oleos e Graxas - TOG de 3267 mg/l, superior ao valor máximo de 42 mg/l estabelecido pela Resolução CONAMA 393/2007.</t>
  </si>
  <si>
    <t>4RD2B1Q4</t>
  </si>
  <si>
    <t>Deixar de Apresentar relatório nos prazos exigido pelas legislação nos anos, RAPP 2012-2018.</t>
  </si>
  <si>
    <t>Teresina</t>
  </si>
  <si>
    <t>RENOVADORA DE PNEUS NOSSA SENHORA DAS GRACAS</t>
  </si>
  <si>
    <t>Av. Prefeito Wall Ferraz, lado par 6320
Lourival parente</t>
  </si>
  <si>
    <t>QRUPUTWL</t>
  </si>
  <si>
    <t>Pescador amador com petrechos proibido s: rede de emalhar (rede de pesca), tarrafa e anzóis de galho.</t>
  </si>
  <si>
    <t>Coxim</t>
  </si>
  <si>
    <t>Evanildo de Oliveira Arruda</t>
  </si>
  <si>
    <t>Pesquuero Itápolis - margem direita do rio Taquari</t>
  </si>
  <si>
    <t>35 II Decreto 6514; 70 1º Lei 9605; 72 Lei 9605; 3º II Decreto 6514; 3º IV Decreto 6514.</t>
  </si>
  <si>
    <t>8OPR3C3W</t>
  </si>
  <si>
    <t>Efetuar a Plataforma de Pampo - 1 (PPM-1), no dia 16 de janeiro de 2017, o descarte de água produzida em desacordo com a regulamentação específica. Teor de Oleos e Graxas - TOG de 50 mg/l, superior ao valor máximo de 42 mg/l estabelecido pela Resolução CONAMA 393/2007.</t>
  </si>
  <si>
    <t>HSSNZY1R</t>
  </si>
  <si>
    <t>Efetuar a Plataforma de Pampo - 1 (PPM-1), no dia 14 de janeiro de 2017, o descarte de água produzida em desacordo com a regulamentação específica. Teor de Oleos e Graxas - TOG de 46 mg/l, superior ao valor máximo de 42 mg/l estabelecido pela Resolução CONAMA 393/2007.</t>
  </si>
  <si>
    <t>4ZWJY1YQ</t>
  </si>
  <si>
    <t>Ter em depósito produto tóxico à saúde humana e perigoso ao meio ambiente (agrotóxico com prazo de validade vencido há mais de seis meses), em desacordo com as exigências estabelecidas em leis ou em seus regulamentos.</t>
  </si>
  <si>
    <t>Santa Rita</t>
  </si>
  <si>
    <t>COMPANHIA USINA SÃO JOÃO</t>
  </si>
  <si>
    <t>Companhia Usina São João</t>
  </si>
  <si>
    <t>53, . Dec. 4.074/2002.</t>
  </si>
  <si>
    <t>RPCFL8EF</t>
  </si>
  <si>
    <t>Transportar madeira de espécie especialmente  protegida (Araucária angustifolia), sem licença válida outorgada pela autoridade competente ou em desacordo com a obtida.</t>
  </si>
  <si>
    <t>BRIANCINI, BRIANCINI CIA LTDA</t>
  </si>
  <si>
    <t>Cruzeiro do Sul RS.</t>
  </si>
  <si>
    <t>50, §  6514.</t>
  </si>
  <si>
    <t>5OOFAXD1</t>
  </si>
  <si>
    <t>Impedir ou dificultar a regeneração natural de florestas ou demais formas de vegetação nativa em polígono de área de 97,997 ha  em área especialmente protegida do Bioma Mata Atlantica com ocorrência de Araucária angustifolia, espécie ameaçada de extinção, alvo 6 da operação Kurity do alerta MapBiomas, através de introdução da cultura de Pinus ou de utilização de pastagens.</t>
  </si>
  <si>
    <t>Inácio Martins</t>
  </si>
  <si>
    <t>Milton Vianna Neto</t>
  </si>
  <si>
    <t>Fazenda Paiquerê - Inácio Martins PR</t>
  </si>
  <si>
    <t>DES KURITY</t>
  </si>
  <si>
    <t>60, II 6514/08.</t>
  </si>
  <si>
    <t>QNTK0CSL</t>
  </si>
  <si>
    <t>Destruir 152,60 hectares de floresta nativa, objeto de especial preservação, sem autorização do órgão ambiental competente, conforme polígono 2019AWS000049089.</t>
  </si>
  <si>
    <t>Nova Bandeirantes</t>
  </si>
  <si>
    <t>Flávia Bezerra de Araújo</t>
  </si>
  <si>
    <t>Nova Bandeirantes/MT</t>
  </si>
  <si>
    <t>DES GCDA BASE XXIX</t>
  </si>
  <si>
    <t>AAWZJJUY</t>
  </si>
  <si>
    <t>Fazer funcionar atividade potencialmente poluidora, fábricacão de gesso, sem a cobertura da licença de operação emitida pelo órgão ambiental compente.</t>
  </si>
  <si>
    <t>GESSO BAIANO EIRELI</t>
  </si>
  <si>
    <t>GESSO BAIANO EIRELI ME
Município de Araripina/PE</t>
  </si>
  <si>
    <t>KODC0HSE</t>
  </si>
  <si>
    <t>Deixar de atender a condicionante n° 2.22, item 'h' da Licença de Operação LO n° 1.129/2013, deixando de executar o Programa de Conservação de Avifauna endêmica e/ou ameaçada de extinção na Área de Influência do Oleoduto.</t>
  </si>
  <si>
    <t>Rio das Flores</t>
  </si>
  <si>
    <t>PETROBRAS TRANSPORTE S.A</t>
  </si>
  <si>
    <t>Oleoduto ORBEL I</t>
  </si>
  <si>
    <t>NZ9W7E8T</t>
  </si>
  <si>
    <t>Receber, para fins comerciais, 33,0100 m³ de madeira serrada, sem licença válida outorgada pela autoridade competente, através DOF 16312818 e Nota Fiscal 154.</t>
  </si>
  <si>
    <t>Ribeirópolis</t>
  </si>
  <si>
    <t>AYSLAN DANTAS LIMA</t>
  </si>
  <si>
    <t>Pátio da empresa Ayslan Dantas Lima</t>
  </si>
  <si>
    <t>44, único Instrução Normativa 21/2014; 48, VI IN 21/2014.</t>
  </si>
  <si>
    <t>WWLKTV11</t>
  </si>
  <si>
    <t>Efetuar a Plataforma de Cherne - 2 (PCH-II), no dia 06 de março de 2018, o descarte de água produzida em desacordo com a regulamentação específica. Teor de Oleos e Graxas - TOG de 117 mg/l, superior ao valor máximo de 42 mg/l estabelecido pela Resolução CONAMA 393/2007.</t>
  </si>
  <si>
    <t>DQXJS5NY</t>
  </si>
  <si>
    <t>Desmatar a corte raso 13 hectares de vegetação nativa do bioma Mata Atlântica, sem autorização da autorização ambiental competente, nas coordenadas de referência 10°35'39"S e 37°15'32"W.</t>
  </si>
  <si>
    <t>Anderson Freitas de Vasconcelos Melo</t>
  </si>
  <si>
    <t>Fazenda Valado</t>
  </si>
  <si>
    <t>MI2OLTRL</t>
  </si>
  <si>
    <t>Caçar espécimes da fauna silvestre sem autorização do órgão ambiental competente.</t>
  </si>
  <si>
    <t>Rodrigues Alves</t>
  </si>
  <si>
    <t>Evandro de Sousa Silva</t>
  </si>
  <si>
    <t>Às margens do Rio Paraná do Moura</t>
  </si>
  <si>
    <t>24 Decreto 6514; 70 1º Lei 9605; 72 Lei 9605; 3º II Decreto 6514; 3º IV Decreto 6514; 3º V Decreto 6514.</t>
  </si>
  <si>
    <t>4B5ZAQWC</t>
  </si>
  <si>
    <t>Descumprir embargo ambiental imposto pelo Termo de Embargo n° 618917/C de 14/05/12, conforme Processo n° 02024.001270/2012-37</t>
  </si>
  <si>
    <t>EDILSON CARDOSO SARAIVA</t>
  </si>
  <si>
    <t>Linha 23, Km 10, Zona Rural do Município de Costa Marques - RO.</t>
  </si>
  <si>
    <t>EA8MULFP</t>
  </si>
  <si>
    <t>Descumprir embargo ambiental imposto pelo Termo de Embargo n° 564631/C de 08/07/08, conforme Processo n° 02502.001046/2008-86.</t>
  </si>
  <si>
    <t>JOEL NUNES MACHADO</t>
  </si>
  <si>
    <t>Linha 21 G, Km 29, Zona Rural do Município de Costa Marques - RO.</t>
  </si>
  <si>
    <t>BCFA6MTQ</t>
  </si>
  <si>
    <t>Destruir 1 ha (um hectare) de vegetação nativa secundária em estágio inicial de regeneração do bioma Mata Atlântica, no Sítio do Arlindo (Ubaporanga/MG), objeto de especial preservação, sem autorização da autoridade ambiental competente.</t>
  </si>
  <si>
    <t>Ubaporanga</t>
  </si>
  <si>
    <t>Geraldo Luiz Soares</t>
  </si>
  <si>
    <t>Sítio do Arlindo, Barra do São Sebastião do Batatal - Ubaporanga/MG.</t>
  </si>
  <si>
    <t>GOV_VALADARES/UNID_TEC</t>
  </si>
  <si>
    <t>MATA ATLÂNTICA VIVA - GOVAL</t>
  </si>
  <si>
    <t>50 1º Decreto 6514; 70 1º Lei 9605; 72 Lei 9605; 3º II Decreto 6514; 3º VII Decreto 6514.</t>
  </si>
  <si>
    <t>1, 1, 2, 3 Decreto 6.660/2008.</t>
  </si>
  <si>
    <t>OYF31R83</t>
  </si>
  <si>
    <t>Efetuar a Plataforma P-09, no dia 01/05/2019, de acordo com a comunicação inicial de incidente (UO-BC-0161/2019) e registrado no SIEMA sob o n°20195257617, a descarga de 0,11 metros cúbicos de petróleo, em desacordo com a legislação e com o autorizado no processo de licenciamento.</t>
  </si>
  <si>
    <t>9 c/c 36, III, 1°§ e 2°§ Decreto 4.136/2002.</t>
  </si>
  <si>
    <t>6RD5T5CS</t>
  </si>
  <si>
    <t>Ter em depósito produto tóxico à saúde humana e perigoso ao meio ambiente (agrotóxicos com prazo de validade vencido há mais de seis meses), em desacordo com as exigências estabelecidas em leis ou em seus regulamentos.</t>
  </si>
  <si>
    <t>Rio Tinto</t>
  </si>
  <si>
    <t>PROFÉ - EMPREENDIMENTOS AGRO PASTORIL S/A</t>
  </si>
  <si>
    <t>Faz. Manibu II</t>
  </si>
  <si>
    <t>64 Decreto 6514; 70 1º Lei 9605; 72 Lei 9605; 3º II Decreto 6514.</t>
  </si>
  <si>
    <t>53, . Decreto 4.074/2002.</t>
  </si>
  <si>
    <t>POA7BZXL</t>
  </si>
  <si>
    <t>Comercializar 10,600 Kg de lagosta inteira em período de defeso,sem declaração de estoque,espécie lagosta vermelha (panulirus argus).</t>
  </si>
  <si>
    <t>São José da Coroa Grande</t>
  </si>
  <si>
    <t>Cleide Vania da Silva</t>
  </si>
  <si>
    <t>Rua 19 de Março S/N Centro Peixaria do Vaso São da Coroa Grande/PE</t>
  </si>
  <si>
    <t>LAG ARGUS III</t>
  </si>
  <si>
    <t>35, 2 IN 206/2008 ART 2.</t>
  </si>
  <si>
    <t>9OXEWBFJ</t>
  </si>
  <si>
    <t>Transportar 5.075 kg de pescado (charutinho) sem comprovante de origem ou autorização do órgão ambiental competente.</t>
  </si>
  <si>
    <t>CLAUDENOR NEVES PANTOJA</t>
  </si>
  <si>
    <t>Porto de Óbidos-PA.</t>
  </si>
  <si>
    <t>ZBS7LU0R</t>
  </si>
  <si>
    <t>Ter em cativeiro 02 especimes da Fauna Silvestres Brasileira,(papagaio verdadeiro) sem a autorização do Órgão Ambiental competente.</t>
  </si>
  <si>
    <t>Buriti dos Montes</t>
  </si>
  <si>
    <t>Francisco Leite Sigueira</t>
  </si>
  <si>
    <t>59GRCL57</t>
  </si>
  <si>
    <t>Efetuar a plataforma P-50, no dia 05/05/2019, de acordo com a comunicação inicial de incidente (UO-ES-0080/2019) e registrado no SIEMA sob o n° 20195636024, a descarga de 0,0015 metros cúbicos de óleo diesel, em desacordo com a legislação e com o autorizado no processo de licenciamento.</t>
  </si>
  <si>
    <t>70 § 1 72 Lei 9605/98; 27 Inc. 2 Lei 9966/00; 9 c/c 36 III, §1°e§2º Decreto 4136/2002.</t>
  </si>
  <si>
    <t>9 c/c 36 , III, §1° e §2° 4.136/2002.</t>
  </si>
  <si>
    <t>8W84Y01E</t>
  </si>
  <si>
    <t>Ter em Cativeiro Espécime da Fauna silvestre uma Periquito da caatinga, sem licença da autoridade ambiental.</t>
  </si>
  <si>
    <t>Raimundo Soares Leite</t>
  </si>
  <si>
    <t>Avenida José Soares, 544, Barreiro, CEP: 64.345-000, no município de Buriti dos Montes/PI</t>
  </si>
  <si>
    <t>CAS ESPERA IV</t>
  </si>
  <si>
    <t>24 Inc. 2,3, § 1,3 Decreto 6514/2008.</t>
  </si>
  <si>
    <t>QKLEG9AI</t>
  </si>
  <si>
    <t>Efetuar a plataforma PVM-1, no dia 04/04/2019, de acordo com a comunicação inicial de incidente (UO-BC 0818/2019) e registrado no SIEMA sob o n° 20194928805, a descarga de 0,0001 metros cúbicos de petróleo, em desacordo com a legislação e com o autorizado no processo de licenciamento.</t>
  </si>
  <si>
    <t>T6VB4Y5D</t>
  </si>
  <si>
    <t>UTILIZAR 17 (DEZESSETE) ESPÉCIMES DE AVES DA FAUNA SILVESTRE NATIVA EM DESACORDO COM A LICENÇA DA AUTORIDADE COMPETENTE, CONFORME RELAÇÃO DO SISPASS ANEXA.</t>
  </si>
  <si>
    <t>JOSÉ PEREIRA DE SOUZA</t>
  </si>
  <si>
    <t>RUA MONTES CLAROS 295 BAIRRO MANGA DA RODA</t>
  </si>
  <si>
    <t>KQ7G0IGY</t>
  </si>
  <si>
    <t>Destruir 2 ha (dois hectares) de vegetação nativa secundária em estágio médio de regeneração do bioma Mata Atlântica, no Sítio Córrego dos Ilídios (Vargem Alegre/MG), objeto de especial preservação, sem autorização (não passível de autorização para exploração ou supressão).</t>
  </si>
  <si>
    <t>Vargem Alegre</t>
  </si>
  <si>
    <t>Neudmar Ferreira Campos</t>
  </si>
  <si>
    <t>Sítio Córrego dos Ilídios - Vargem Alegre/MG.</t>
  </si>
  <si>
    <t>49 1º Decreto 6514; 70 1º Lei 9605; 72 Lei 9605; 3º II Decreto 6514; 3º VII Decreto 6514.</t>
  </si>
  <si>
    <t>FPYJEYA0</t>
  </si>
  <si>
    <t>Deixar de apresentar relatórios ambientais (RAPP 2019/2018) nos prazos exigidos pela legislação, do Cadastro Técnico Federal do IBAMA (IBAMA).</t>
  </si>
  <si>
    <t>Jaraguá</t>
  </si>
  <si>
    <t>AUTO POSTO CAMPOS LTDA</t>
  </si>
  <si>
    <t>Auto Posto Campos Ltda</t>
  </si>
  <si>
    <t>17-C, 1 Lei 6938/1981.</t>
  </si>
  <si>
    <t>E404DPCP</t>
  </si>
  <si>
    <t>Ter em depósito 34,301 St de lenha nativa sem cobertura do DOF, obrigatório para o transporte e armazenamento de produto florestal de origem nativa.</t>
  </si>
  <si>
    <t>Milagres</t>
  </si>
  <si>
    <t>Juracy de Souza Almeida</t>
  </si>
  <si>
    <t>Sítio Pica-Pau Amarelo - Zona Rural</t>
  </si>
  <si>
    <t>6S3ZR2DK</t>
  </si>
  <si>
    <t>Fazer funcionar atividade potencialmente poluidora e utilizadora de recursos naturais fabricação de gesso, sem a licença válida outorgada pela autoridade ambiental competente</t>
  </si>
  <si>
    <t>PREMOLDADOS PADRÃO LTDA - ME</t>
  </si>
  <si>
    <t>Rua Izaías Bezerra, 116 Distrito Industrial , Centro, município de Araripina/ PE, CEP. 56.280000</t>
  </si>
  <si>
    <t>9MQ3R21Y</t>
  </si>
  <si>
    <t>Lançar resíduos sólidos e liquidos, provenientes de lavagem de equipamentos de pulverização de agrotóxicos, diretamente no meio ambiente e em manancial de água, em desacordo com as exigências estabelecidas em leis ou normativas, na Granja Santa Rosa.</t>
  </si>
  <si>
    <t>Uruguaiana</t>
  </si>
  <si>
    <t>Alfredo Luiz Mezzomo</t>
  </si>
  <si>
    <t>Granja Santa Rosa. Zona rural de Uruguaiana. 
CAR xxx</t>
  </si>
  <si>
    <t>62, V Decreto Federal 6514 de 2008..</t>
  </si>
  <si>
    <t>PARX0RHM</t>
  </si>
  <si>
    <t>Ter em depósito produto tóxico à saúde humana e perigoso ao meio ambiente (80 gramas do agrotóxico HerbexMax 75% WDG sem registro no Brasil, e 4,835 quilogramas de agrotóxicos vencidos há mais de seis meses conforme relação anexa), em desacordo com as exigências estabelecidas em leis ou em seus regulamentos.</t>
  </si>
  <si>
    <t>Cruz Alta</t>
  </si>
  <si>
    <t>Valmir Grassi</t>
  </si>
  <si>
    <t>Passo da Divisa</t>
  </si>
  <si>
    <t>8, caput Decreto Federal n° 4074/2002; 64, caput Decreto Federal n° 4074/2002; 85, caput Decreto Federal n° 4074/2002.</t>
  </si>
  <si>
    <t>K8HE033J</t>
  </si>
  <si>
    <t>Transportar 02 (dois) animais da fauna silvestre Brasileira, das espécimes 01 caboclinho e 01 Papa capim, sem autorização da autoridade competente.</t>
  </si>
  <si>
    <t>Eduardo Soares Chavier</t>
  </si>
  <si>
    <t>Posto da PRF na BR- 406 em São Gonçalo do Amarante.</t>
  </si>
  <si>
    <t>24 Inc. 3 Decreto 6514/2008.</t>
  </si>
  <si>
    <t>7NJAX43I</t>
  </si>
  <si>
    <t>FORNECER DADOS FRAUDADOS AO DECLARAR OS NASCIMENTOS DE SEIS FILHOTES, EM UMA MESMA NINHADA, PARA A FÊMEA DE SALTATOR SIMILIS, ANILHA SISPASS 3.5 MG/A 018 476, CONFORME INFORMAÇÃO Nº xxx (ANEXA).</t>
  </si>
  <si>
    <t>Capelinha</t>
  </si>
  <si>
    <t>GILMAR ALVES MENDES</t>
  </si>
  <si>
    <t>RUA RIO AMAZONAS 152 RESIDENCIAL ÁGUA SANTA.</t>
  </si>
  <si>
    <t>0BXB1UWM</t>
  </si>
  <si>
    <t>Deixar de atender a condicionante 2.14 da LO n° 514/2005.</t>
  </si>
  <si>
    <t>CORUMBÁ CONCESSÕES S.A.</t>
  </si>
  <si>
    <t>TY7TGS04</t>
  </si>
  <si>
    <t>Inserir informação falsa ou enganosa em sistemas oficiais ao declarar nascimento em data diversa do que de fato ocorreu.</t>
  </si>
  <si>
    <t>LUIZ FERNANDO DE ANDRADE GONÇALVES</t>
  </si>
  <si>
    <t>Rua Albertina Medeiros</t>
  </si>
  <si>
    <t>7XN3O3MF</t>
  </si>
  <si>
    <t>Queimar resíduos sólidos a céu aberto em Lixão.</t>
  </si>
  <si>
    <t>MUNICIPIO DE LUIS CORREIA</t>
  </si>
  <si>
    <t>Lixão de Luís Correia, após vistoria e constatação em campo e análise de documentos e processos na sede da Supes-PI</t>
  </si>
  <si>
    <t>62 1º Decreto 6514; 70 1º Lei 9605; 72 Lei 9605; 3º II Decreto 6514.</t>
  </si>
  <si>
    <t>62, Inc. XI Decreto 6.514/08.</t>
  </si>
  <si>
    <t>KK1552SK</t>
  </si>
  <si>
    <t>Guardar quatro carcaças de animais abatidos, pertencentes a Fauna Silvestre nativa, sem a devida autorização ambiental.</t>
  </si>
  <si>
    <t>Novo Oriente</t>
  </si>
  <si>
    <t>Matar, perseguir, caçar, apanhar, coletar, utilizar espécimes da fauna silvestre, nativos ou em rota migratória, sem a devida permissão, licença ou autorização da autoridade competente, ou em desacordo com a obtida.</t>
  </si>
  <si>
    <t>Flavio Ferreira Viana</t>
  </si>
  <si>
    <t>ABA2UX0A</t>
  </si>
  <si>
    <t>São Miguel do Guaporé</t>
  </si>
  <si>
    <t>Rodovia BR 429, Km 20, sentido Alvorada do Oeste, Zona Rural do Município de São Miguel do Guaporé - RO.</t>
  </si>
  <si>
    <t>8FGIFT69</t>
  </si>
  <si>
    <t>descumprir embargo de n.306596/C</t>
  </si>
  <si>
    <t>Belém do Brejo do Cruz</t>
  </si>
  <si>
    <t>JOSÉ ALVES NETO</t>
  </si>
  <si>
    <t>sítio palha de cima, zona rural  de Belém do brejo do Cruz/Pb</t>
  </si>
  <si>
    <t>RCNOWYL2</t>
  </si>
  <si>
    <t>Efetuar a Plataforma de Cherne - 2 (PCH-II), no dia 08 de abril de 2019, o descarte de água produzida em desacordo com a regulamentação específica. Teor de Oleos e Graxas - TOG de 50 mg/l, superior ao valor máximo de 42 mg/l estabelecido pela Resolução CONAMA 393/2007.</t>
  </si>
  <si>
    <t>BSHMR1RX</t>
  </si>
  <si>
    <t>Desmatar 65,3924 Hectares de floresta de vegetação nativa, objeto de especial preservação (Amazônia Brasileira), sem autorização do órgão ambiental competente.
ID N°: 2018AWS000000474. Coordenadas do polígono de acordo com a carta imagem anexa ao processo.</t>
  </si>
  <si>
    <t>LEONIDAS GUSTAVO TONDO</t>
  </si>
  <si>
    <t>BR-429, km 08 lado Sul, zona rural.</t>
  </si>
  <si>
    <t>225, 4° Constituição federal de 1988.</t>
  </si>
  <si>
    <t>5D68L78R</t>
  </si>
  <si>
    <t>Introduzir um espécime animal silvestre exótico (Gecko) no País, sem parecer técnico oficial favorável e licença expedida pela autoridade ambiental competente, conforme objeto postal DY706416836BR, enviado em 28/12/2017 e apreendido pelo Ibama em 04/01/2018.
Obs.: Entende-se por introdução de espécime animal no País, além do ato de ingresso nas fronteiras nacionais, a guarda e manutenção continuada a qualquer tempo.</t>
  </si>
  <si>
    <t>Rodrigo Souza Fernandes Rangel</t>
  </si>
  <si>
    <t>Rua Rio São Francisco, 575</t>
  </si>
  <si>
    <t>25 1º Decreto 6514; 70 1º Lei 9605; 72 Lei 9605; 3º II Decreto 6514.</t>
  </si>
  <si>
    <t>4YQJER29</t>
  </si>
  <si>
    <t>Transportar um espécime da fauna nativa (iguana), sem licença da autoridade ambiental competente, através do objeto postal DY706416853BR, enviado em 28/12/3017 e apreendido pelo Ibama em 04/01/2018.</t>
  </si>
  <si>
    <t>Rua Rio São Francisco 575</t>
  </si>
  <si>
    <t>ILBG4TAX</t>
  </si>
  <si>
    <t>Efetuar a Plataforma de Cherne - 2 (PCH-II) o descarte de água produzida em desacordo com a regulamentação específica no mes de dezembro de 2018. Teor de Oleos e Graxas - TOG com valor Medio Mensal de 32 mg/l, superior ao valor máximo de 29 mg/l estabelecido pela Resolução CONAMA 393/2007.</t>
  </si>
  <si>
    <t>897YZBOR</t>
  </si>
  <si>
    <t>Destruir 27,559 hectares de floresta nativa, objeto de especial preservação (Floresta Amazônica), sem a devida autorização do órgão ambiental competente.</t>
  </si>
  <si>
    <t>Cláudia</t>
  </si>
  <si>
    <t>PAULO CEZAR JANSON</t>
  </si>
  <si>
    <t>Estrada Alessandra esquina com a estrada Mayse, município de Claudia/MT.</t>
  </si>
  <si>
    <t>MCUO3GZG</t>
  </si>
  <si>
    <t>Ter em depósito 34,301 St de lenha nativa sem exibir a licença do vendedor outorgada pela autoridade ambiental competente.</t>
  </si>
  <si>
    <t>Juracy dos Santos Almeida</t>
  </si>
  <si>
    <t>Sírio Pica-Pau Amarelo - Zona Rural</t>
  </si>
  <si>
    <t>0CPCJ5ZK</t>
  </si>
  <si>
    <t>Realizar cultivo de milho geneticamente modificado na zona de amortecimento do Parque Nacional do Iguaçu</t>
  </si>
  <si>
    <t>Penalidade pecuniária - Org. Gen. Modific. e Biopirataria</t>
  </si>
  <si>
    <t>Org. Gen. Modific. e Biopirataria</t>
  </si>
  <si>
    <t>São Miguel do Iguaçu</t>
  </si>
  <si>
    <t>Infração de Biopirataria(Não Classificada-Móvel)</t>
  </si>
  <si>
    <t>FLÁVIA ALEXANDRA FALETTI BEN</t>
  </si>
  <si>
    <t>Linha Indianápolis São Miguel do Iguaçu PR</t>
  </si>
  <si>
    <t>89 Decreto 6514; 70 1º Lei 9605; 72 Lei 9605; 3º II Decreto 6514.</t>
  </si>
  <si>
    <t>R42JL1OW</t>
  </si>
  <si>
    <t>Transportar um espécime da fauna nativa  (jibóia amazônica), sem licença da autoridade ambiental competente, através do objeto postal DY706416875BR, enviado em 28/12/2017 e apreendido pelo Ibama em 04/01/2018.</t>
  </si>
  <si>
    <t>Rua São Francisco, 575, Parque das Águas</t>
  </si>
  <si>
    <t>1O7XWIUH</t>
  </si>
  <si>
    <t>Efetuar a Plataforma de Pargo 1 (PPG-1), o descarte de água produzida em desacordo com a regulamentação específica no mes de janeiro de 2019. Teor de Oleos e Graxas - TOG com valor Medio Mensal de 34 mg/l, superior ao valor máximo de 29 mg/l estabelecido pela Resolução CONAMA 393/2007.</t>
  </si>
  <si>
    <t>Campo de Pargo-1A</t>
  </si>
  <si>
    <t>GNNXRW3R</t>
  </si>
  <si>
    <t>Vender 2,2995 m3 de resíduo para aproveitamento industrial oriundos do bioma Amazônia, sem cobertura de documento de origem florestal (DOF).</t>
  </si>
  <si>
    <t>Aracaju</t>
  </si>
  <si>
    <t>MB MADEIREIRA E MATERIAIS DE CONSTRUCAO EIRELI - ME</t>
  </si>
  <si>
    <t>Rua Jonaldo Bonfim 668, Santos Dumont, Aracaju SE</t>
  </si>
  <si>
    <t>WPVKYQWJ</t>
  </si>
  <si>
    <t>Ter em deposito produto tóxico a saúde humana e perigoso ao meio ambiente (agrotóxico com prazo de validade vencido ha mais de um ano) em desacordo com exigências estabelecidas em leis ou em seus regulamentos.</t>
  </si>
  <si>
    <t>Agroindústrial Japungu S/A</t>
  </si>
  <si>
    <t>Fazenda Japungu SN Zona Rural</t>
  </si>
  <si>
    <t>53, Par. 1 Decreto 4074/2002.</t>
  </si>
  <si>
    <t>K9VY6XKB</t>
  </si>
  <si>
    <t>Ter em cativeiro 03 espécimes da Fauna Silvestres nativa, sendo dois indivíduos pertencentes a espécie listada no anexo CITES, sem a devida autorização ambiental.</t>
  </si>
  <si>
    <t>ANTONIO NARCISIO LEITE</t>
  </si>
  <si>
    <t>CAS MIGRANTES I</t>
  </si>
  <si>
    <t>70 §1º Lei 9605/98; 3º II-IV 24 §3°I,II,III Decreto 6514/2008.</t>
  </si>
  <si>
    <t>MVAYOZOD</t>
  </si>
  <si>
    <t>FAZER FUNCIONAR ATIVIDADE POTENCIALMENTE POLUIDORA, FABRICAÇÃO DE GESSO, SEM A COBERTURA DA LIÇENCA AMBIENTAL EMITIDA PELO ÓRGÃO AMBIENTAL COMPETENTE.</t>
  </si>
  <si>
    <t>ADÃO DOMINGOS FILHO EIRELI</t>
  </si>
  <si>
    <t>GESSO FÉLIX ARARIPINA PE</t>
  </si>
  <si>
    <t>LPKH8ZCF</t>
  </si>
  <si>
    <t>Efetuar a Plataforma de Cherne - 2 (PCH-II), no dia 09 de abril de 2019, o descarte de água produzida em desacordo com a regulamentação específica. Teor de Oleos e Graxas - TOG de 45 mg/l, superior ao valor máximo de 42 mg/l estabelecido pela Resolução CONAMA 393/2007.</t>
  </si>
  <si>
    <t>TNDOJKJ5</t>
  </si>
  <si>
    <t>Efetuar a Plataforma Pargo-1A (PPG-1A), no dia 09 de dezembrol de 2018, o descarte de água produzida em desacordo com a regulamentação específica. Teor de Oleos e Graxas - TOG de 43 mg/l, superior ao valor máximo de 42 mg/l estabelecido pela Resolução CONAMA 393/2007.</t>
  </si>
  <si>
    <t>7FYB31J8</t>
  </si>
  <si>
    <t>Deixar de atender a condicionante 2.1 e 2.1.7 da LI n° 1096/2015 2° Retificação, Programa de Afugentamento, Resgate e Manejo de Fauna no Trecho da Torre 236/1 Guapiara/Sp</t>
  </si>
  <si>
    <t>CONCREMAT ENGENHARIA E TECNOLOGIA S/A</t>
  </si>
  <si>
    <t>V57TCNI5</t>
  </si>
  <si>
    <t>Utilizar espécime da fauna silvestre nativa em desacordo com a licença (reprodução da ave mãe de anilha IBAMA OA 3.5 405977 sem prévio requerimento de anilhas)</t>
  </si>
  <si>
    <t>São José do Rio Preto</t>
  </si>
  <si>
    <t>NILSON DUILIO QUARESIMA</t>
  </si>
  <si>
    <t>UT II São José do Rio Preto/SP</t>
  </si>
  <si>
    <t>36, III IN 10/2011.</t>
  </si>
  <si>
    <t>NQM0P9DP</t>
  </si>
  <si>
    <t>Utilizar espécime da fauna silvestre nativa em desacordo com a licença (reprodução da ave mãe de anilha IBAMA OA 3.5 414855 sem prévio requerimento de anilhas).</t>
  </si>
  <si>
    <t>PEDRO FABIANO SAUADA</t>
  </si>
  <si>
    <t>L0GYVZT9</t>
  </si>
  <si>
    <t>Transportar 30,8 ésteres de lenha de espécies nativas diversas sem documento de origem outorgado por órgão ambiental competente-DOF, no ato fiscalizatório, no veículo tipo caminhão, de placas KFQ 5601.</t>
  </si>
  <si>
    <t>Arnaud Pedro da Silva Junior</t>
  </si>
  <si>
    <t>Rua João Medeiros Filho, s/n.</t>
  </si>
  <si>
    <t>5FTVS2YA</t>
  </si>
  <si>
    <t>Destruir 8,1 hectares de floresta nativa Amazônica objeto de especial preservação compreendendo coordenadas geográficas de referência  05°37'53" S, 50°21'19"W, Fazenda Nola, com o uso de fogo.</t>
  </si>
  <si>
    <t>Marabá</t>
  </si>
  <si>
    <t>Rosimeire de Souza Magalhães</t>
  </si>
  <si>
    <t>Volta Grande do Tapirapé. Vicinal da Vila Bandinha.</t>
  </si>
  <si>
    <t>JUIZO FINAL VIII MAB</t>
  </si>
  <si>
    <t>60, I 6514.</t>
  </si>
  <si>
    <t>XFXE2OW4</t>
  </si>
  <si>
    <t>Ter em cativeiro 07 (sete) espécimes da fauna silvestre brasileira em desacordo com a licença obtida no IBAMA, sendo 01 (um) coleiro papa-capim ( Sporophila caerulescens) anilha SISPASS 2,2 RJ/A 029179 e 02 (dois) curiós (Sporophila angolensis) anilhas IBAMA 05/06 2,6 231578 e IBAMA OA 2,6 535892, constantes no plantel SisPass do criador que não se encontravam no local no ato da fiscalização; 02 (dois) trinca-ferros (Saltator similis) que não constavam no SisPass do criador, um sem anilha e outro com anilha IBAMA OA 3,5 596316 com indícios de irregularidade; 01 (um) coleiro baiano (Sporophila nigricolis) anilha IBAMA 04/05 2,2 061553 que não constava no SisPass do criador; e 01 (um) coleiro papa-capim sem anilha que não consta no SisPass.</t>
  </si>
  <si>
    <t>Carapebus</t>
  </si>
  <si>
    <t>KELVI BERNARDO VIEIRA</t>
  </si>
  <si>
    <t>Rua Sebastião Mussi, 375, Oscar Brito, Carapebus/RJ, cep 27.998-000</t>
  </si>
  <si>
    <t>SISP DELIVERY II</t>
  </si>
  <si>
    <t>24 Inc. 1,2,3, § 3,6,7 Decreto 6514/2008.</t>
  </si>
  <si>
    <t>S3QPCWS0</t>
  </si>
  <si>
    <t>Serranópolis do Iguaçu</t>
  </si>
  <si>
    <t>VALMOR DALL`AGNOL</t>
  </si>
  <si>
    <t>5ZP90VNP</t>
  </si>
  <si>
    <t>Inserir informação falsa ou enganosa ao declarar nascimento em sistema com data posterior a informada no requerimento das anilhas.</t>
  </si>
  <si>
    <t>Introduzir espécime animal no País, ou fora de sua área de distribuição natural, sem parecer técnico oficial favorável e licença expedida pela autoridade ambiental competente.</t>
  </si>
  <si>
    <t>LEANDRO MANOEL</t>
  </si>
  <si>
    <t>Rua Lopes Perestrelo 74</t>
  </si>
  <si>
    <t>3 2, 9 82 Decreto 6514/2008; 70 1 72 Lei 9605/98; 35 2 Instrução Normativa Ibama 10/2011 .</t>
  </si>
  <si>
    <t>Q04W6LFL</t>
  </si>
  <si>
    <t>Efetuar a Plataforma FPSO Cidade do Rio de Janeiro a descarga de 15,36 metros cúbicos de petróleo em desacordo com a legislação e com o autorizado no processo de licenciamento.</t>
  </si>
  <si>
    <t>FPSO Cidade do Rio de Janeiro</t>
  </si>
  <si>
    <t>7º 2º Lei 9966; 70 1º Lei 9605; 72 Lei 9605; 3º II Decreto 6514.</t>
  </si>
  <si>
    <t>36, III Decreto n° 4.136/2002.</t>
  </si>
  <si>
    <t>GO9LN4L7</t>
  </si>
  <si>
    <t>Destruir 37,2636 há, de floresta nativa na região Amazônia, objeto de especial preservação, sema licença outorgada pelo órgão ambiental competente, no polígono de coordenadas centrais. 11°.38'22,78"S e 62°35'29,55"W,de ID-2019AMC 000000030</t>
  </si>
  <si>
    <t>Claudia Eugenia Carazai</t>
  </si>
  <si>
    <t>Zona Rural de São Miguel do Guaporé/RO</t>
  </si>
  <si>
    <t>TG2YVFLV</t>
  </si>
  <si>
    <t>Deixar de atender a condicionante 2.4 da Renovação de Licença de Operação - RLO n° 597/2007, descumprindo o Plano de Emergência Individual.</t>
  </si>
  <si>
    <t>Plataforma FPSO Cidade do Rio de Janeiro</t>
  </si>
  <si>
    <t>4°, . Resolução CONAMA n° 398/2008; 66, parágrafo único, II Decreto n° 6.514/2008.</t>
  </si>
  <si>
    <t>2613Y70V</t>
  </si>
  <si>
    <t>Utilizar espécime da fauna silvestre nativa em desacordo com a licença (reprodução da ave mãe anilha Sispass 3.5 SC/A 033786 sem prévio requerimento de anilhas).</t>
  </si>
  <si>
    <t>LUCIANO DE AZEVEDO NUNES</t>
  </si>
  <si>
    <t>V51NX6C8</t>
  </si>
  <si>
    <t>Transportar espécimes da fauna silvestre (01 Jabuti vivo, uma parte de Paca e uma parte de um Caititu) sem autorização do órgão ambiental competente.</t>
  </si>
  <si>
    <t>Fatimo Batista de Lima</t>
  </si>
  <si>
    <t>Na beira do Rio Paraná do Moura</t>
  </si>
  <si>
    <t>MIJ9J1WW</t>
  </si>
  <si>
    <t>Lixão de Luís Correia, após vistoria/constatação e análise de documentos e processos anteriores referentes ao citado município</t>
  </si>
  <si>
    <t>62, inciso XI Decreto Federal 6.514/08.</t>
  </si>
  <si>
    <t>D2KO1B59</t>
  </si>
  <si>
    <t>Descumprir embargo de obra ou atividade e suas respectivas áreas.</t>
  </si>
  <si>
    <t>Paranatinga</t>
  </si>
  <si>
    <t>Airton Pereira</t>
  </si>
  <si>
    <t>Fazenda Água Esplanada</t>
  </si>
  <si>
    <t>2UY9TVFB</t>
  </si>
  <si>
    <t>Sede da Superintendência do IBAMA no Piauí, após análise de dados e processos referentes ao Lixão do Município de Luis Correia.</t>
  </si>
  <si>
    <t>62, Inc. XI Decreto Federal 6.514/08.</t>
  </si>
  <si>
    <t>3LEAKTF6</t>
  </si>
  <si>
    <t>Desmatar 64,81 hectares de floresta nativa ,em área de reserva legal,sem autorização prévia do órgão ambiental competente., conforme carta imagem anexa.</t>
  </si>
  <si>
    <t>Helio Pires Gonçalves</t>
  </si>
  <si>
    <t>Linha 15 de novembro 5,5 zona rural Distrito de união Bandeirantes de</t>
  </si>
  <si>
    <t>7TB2MR47</t>
  </si>
  <si>
    <t>DESTRUIR 93,87 HECTARES DE FLORESTA NATIVA, OBJETO DE ESPECIAL PRESERVAÇÃO NA AMAZÔNIA LEGAL, SEM AUTORIZAÇÃO DO ÓRGÃO AMBIENTAL COMPETENTE. NO ID 2019AWS000012462. CONFORME MAPA COM ANÁLISE TEMPORAL DE IMAGEM.</t>
  </si>
  <si>
    <t>JUNIOR CASSIANO BORGES</t>
  </si>
  <si>
    <t>ESTÂNCIA CASSIANO - ZONA RURAL EM NOVA BANDEIRANTES/MT</t>
  </si>
  <si>
    <t>4GXBMSSN</t>
  </si>
  <si>
    <t>Destruir 286,664 Hectares de Floresta Nativa na região amazônica, objeto de especial preservação, sem a licença outorgada pelo órgão ambiental competente. Sendo dos IDs: 2018AWS000001605, 50,925 ha; 2018SAD000002257, 50,902 ha;
2019AWS00001587, 194,837 ha.</t>
  </si>
  <si>
    <t>Egilberto Renato Pastorio</t>
  </si>
  <si>
    <t>Fazenda Naviraí, Linha 66, KM 40, São Miguel do Guaporé</t>
  </si>
  <si>
    <t>BGOCNWML</t>
  </si>
  <si>
    <t>DESTRUIR 119,48 HECTARES DE FLORESTA NATIVA, OBJETO DE ESPECIAL PRESERVAÇÃO NA AMAZÔNIA LEGAL, SEM AUTORIZAÇÃO DO ÓRGÃO AMBIENTAL COMPETENTE. NO ID 2019AWS000036706. CONFORME MAPA COM ANÁLISE TEMPORAL DE IMAGEM.</t>
  </si>
  <si>
    <t>CARLECI DE JESUS SILVA</t>
  </si>
  <si>
    <t>SÍTIO SANTA BARBARA, ZONA RURAL EM NOVA BANDEIRANTES/MT</t>
  </si>
  <si>
    <t>RGBLCLRO</t>
  </si>
  <si>
    <t>Destruir 99,13 Hectares floresta nativa, objeto de especial preservação na Amazônia Legal, sem autorização do órgão Ambiental competente no ID 49, 2019AWS00003669. CONFORME MAPA com analise temporal de imagem</t>
  </si>
  <si>
    <t>José Domingos da Silva</t>
  </si>
  <si>
    <t>Zona Rural em Nova Bandeirantes</t>
  </si>
  <si>
    <t>70  § 1° Lei 9605/98; 72 Lei 9605/98; 3 II Decreto 6514/2008.</t>
  </si>
  <si>
    <t>9WUJTY08</t>
  </si>
  <si>
    <t>Ter em depósito 25,960m3 de madeiras serradas de diversas essências, sem licença válida do órgão ambiental competente.</t>
  </si>
  <si>
    <t>C G NOGUEIRA LIMA</t>
  </si>
  <si>
    <t>Depósito de Madeira.
CG Nogueira Lima
Av. Itacaiunas, 2262 - Loja 01
Laranjeiras - Marabá/PA</t>
  </si>
  <si>
    <t>MZGLSWR1</t>
  </si>
  <si>
    <t>Ter em Cativeiro 04( quatro) espécime da fauna silvestre, sendo: um azulão, um galo da campina, caboclinho e um coleiro, sem autorização da autoridade competente.</t>
  </si>
  <si>
    <t>José Anastácio Cedro Veras</t>
  </si>
  <si>
    <t>Fazenda Ramalhete,Zona Rural B2 no município de tamboril/CE</t>
  </si>
  <si>
    <t>24 1º I Decreto 6514; 24 1º III Decreto 6514; 24 3º I Decreto 6514; 24 3º III Decreto 6514; 70 1º Lei 9605; 72 Lei 9605; 3º II Decreto 6514; 3º IV Decreto 6514.</t>
  </si>
  <si>
    <t>OYOEGH6E</t>
  </si>
  <si>
    <t>Deixar, aquele que tem obrigação, desse destinação ambientalmente adequada a embalagens vazias de agrotóxicos, como determina a Lei 7082/1989.</t>
  </si>
  <si>
    <t>Quaraí</t>
  </si>
  <si>
    <t>JEAN DA SILVEIRA GARCEZ</t>
  </si>
  <si>
    <t>Fazenda Espinilho - Zona rural de Quaraí</t>
  </si>
  <si>
    <t>62, VI 6514/08; 6
, parágrafo 2 7802/89; 14, caput 7802/89.</t>
  </si>
  <si>
    <t>TN0MS65O</t>
  </si>
  <si>
    <t>Efetuar a plataforma P-58, no dia 16/02/2019, de acordo com o comunicação inicial de incidente (UO-ES-0022/2019) e registrado no SIEMA sob o n° 201921839639, a descarga de 0,8 metros cúbicos de fluído sintético de perfuração, em desacordo com a legislação e com o autorizado no processo de licenciamento.</t>
  </si>
  <si>
    <t>9 c/c 36, III, 1° e 2° parágrafos Decreto 4.136/2002.</t>
  </si>
  <si>
    <t>9XTXPKWH</t>
  </si>
  <si>
    <t>Ter em depósito produto tóxico a saúde humana e perigoso ao meio ambiente (agrotóxico com prazo de validade vencida há mais de ano), em desacordo com as exigências estabelecidas  leis ou em seus regulamentos.</t>
  </si>
  <si>
    <t>MIRIRI ALIMENTOS E BIOENERGIA S/A</t>
  </si>
  <si>
    <t>Miriri Alimentos e Bioenergia S/A</t>
  </si>
  <si>
    <t>53, parág. 1 Decreto 4.074/2002.</t>
  </si>
  <si>
    <t>4S4QR0EM</t>
  </si>
  <si>
    <t>Transportar 29,110 m3, produtos florestais (madeiras serradas), com DOF série 21383160, para a empresa Domingues e Rodrigues Comércio de Materiais de Construção Ltda, 
CNPJ 12.568.684/0001-01, mediante fraude com alocação de placa inválida.</t>
  </si>
  <si>
    <t>Alto Paraíso</t>
  </si>
  <si>
    <t>UILSON INACIO DA SILVA</t>
  </si>
  <si>
    <t>Madeireira Modelo Eireli - Alto Paraíso</t>
  </si>
  <si>
    <t>MZ2AOMUC</t>
  </si>
  <si>
    <t>Destruir 33,70 hectares de vegetação nativa na região amazônica, objetivo de especial preservação, sem autorização da autoridade competente, conforme polígono com coordenadas geográficas anexos no processo.Observação: identificador do polígono ID 2019AZO000000450 Sítio Primavera</t>
  </si>
  <si>
    <t>Mojuí dos Campos</t>
  </si>
  <si>
    <t>Cláudia Vieira Oliveira</t>
  </si>
  <si>
    <t>Sítio Primavera</t>
  </si>
  <si>
    <t>62X9C5ZW</t>
  </si>
  <si>
    <t>Transportar 33,207 m3 produtos florestais (madeiras serradas), com DOF série 21299088, para a empresa Madeireira Porto Bello Eireli ME, CNPJ 20.002.703/0001-66, mediante fraude com alocação de placa inválida.</t>
  </si>
  <si>
    <t>Uilson Inácio da Silva</t>
  </si>
  <si>
    <t>Pátio Madeireira Modelo Eireli - Alto Paraíso</t>
  </si>
  <si>
    <t>1LCTTF3R</t>
  </si>
  <si>
    <t>Desmatar, a corte raso, 15,99 hectares de vegetação BIOMA CERRADO, fora da área de reserva legal, sem autorização da autoridade competente.</t>
  </si>
  <si>
    <t>Rio Verde de Mato Grosso</t>
  </si>
  <si>
    <t>Eurindo Alves da Silva Neto</t>
  </si>
  <si>
    <t>Fazenda Jandaia</t>
  </si>
  <si>
    <t>52 Decreto 6514; 70 1º Lei 9605; 72 Lei 9605; 3º II Decreto 6514; 3º VII Decreto 6514.</t>
  </si>
  <si>
    <t>ASGHVXRU</t>
  </si>
  <si>
    <t>Ter em cativeiro 18 aves da Fauna, sendo uma inscrita no CITES, anexo II, sem autorização do Órgão Ambiental competente.</t>
  </si>
  <si>
    <t>Francisco Edivar Cedro Alves</t>
  </si>
  <si>
    <t>70 §1º 72 Lei 9605/98; 3º II-IV 24 §3°I,II,III Decreto 6514/2008.</t>
  </si>
  <si>
    <t>LMKK6V2K</t>
  </si>
  <si>
    <t>UNID_TEC/JUINA</t>
  </si>
  <si>
    <t>Desmatar, a corte raso, (48,36 hectares) de floresta nativa, fora da reserva legal, sem autorização da autoridade competente.</t>
  </si>
  <si>
    <t>Ricardo Paes Gomes</t>
  </si>
  <si>
    <t>Fazenda Volta Alegre, zona rural de Aripuanã-MT.</t>
  </si>
  <si>
    <t>52 Decreto 6514/2008.</t>
  </si>
  <si>
    <t>P4E2DQD2</t>
  </si>
  <si>
    <t>Efetuar a Plataforma Petrobrs 31 (P-31), no dia 24 de dezembro de 2018, o descarte de água produzida em desaordo com a regulamentação específica. Teor de Oleos e Graxas - TOG de 51 mg/l, superior ao valor máximo de 42 mg/l estabelecido pela Resolução CONAMA 393/2007.</t>
  </si>
  <si>
    <t>M6DEP41Y</t>
  </si>
  <si>
    <t>Transportar (27,610) m3 produtos florestais (madeiras serradas), com DOF Consumidor Final 21813510, código controle 5252 9547 1691 3987, mediante fraude e alocação de placa inválida.</t>
  </si>
  <si>
    <t>XS0LI5IY</t>
  </si>
  <si>
    <t>Efetuar a Plataforma Petrobrs 31 (P-31), no dia 22 de dezembro de 2018, o descarte de água produzida em desaordo com a regulamentação específica. Teor de Oleos e Graxas - TOG de 44 mg/l, superior ao valor máximo de 42 mg/l estabelecido pela Resolução CONAMA 393/2007.</t>
  </si>
  <si>
    <t>L152QRB9</t>
  </si>
  <si>
    <t>Ter em cativeiro 22 (vinte e dois) pássaros da fauna silvestre nativa brasileira em desacordo com a licença obtida, sendo: 04 (quatro) pássaros do plantel Sispass do criador ausentes do local, 08 (oito) pássaros do plantel Sispass do criador presentes no local, 04 (quatro) pássaros do plantel Sispass do criador presentes no local com anilhas que apresentavam indícios de irregularidade e 06 (seis) pássaros sem anilha.</t>
  </si>
  <si>
    <t>Itaocara</t>
  </si>
  <si>
    <t>Wander Miguel Sarruf</t>
  </si>
  <si>
    <t>Rua Nilo Peçanha, 163 - Laranjais - Itaocara / RJ</t>
  </si>
  <si>
    <t>24 Decreto 6514; 24 3º I Decreto 6514; 24 3º III Decreto 6514; 24 6º I Decreto 6514; 24 6º III Decreto 6514; 70 1º Lei 9605; 72 Lei 9605; 3º II Decreto 6514; 3º IV Decreto 6514; 3º IX Decreto 6514; 3º VII Decreto 6514.</t>
  </si>
  <si>
    <t>MSRFLO66</t>
  </si>
  <si>
    <t>Transportar (33,107)m3 produtos florestais (madeiras serradas) com DOF série 21299088, para a empresa Porto Bello Eireli ME, CNPJ 20.002.703/0001-66, mediante fraude com alocação de placa inválida.</t>
  </si>
  <si>
    <t>UILIAN DA SILVA</t>
  </si>
  <si>
    <t>3C3JIAKW</t>
  </si>
  <si>
    <t>Efetuar a Plataforma Petrobras XLIII (P-43), o descarte de água produzida em desaordo com a regulamentação específica no mes de janeiro de 2017. Teor de Oleos e Graxas - TOG com valor Medio Mensal de 23 mg/l no tanque TQ 03 e de 22mg/l no tanque TQ 07, superiores ao valor máximo de 20 mg/l estabelecido pela Condicionante Especifica 2.7 da Licença de Operação416/2004 que estabelecia um limite máximomensal de TOG de 20 mg/l.</t>
  </si>
  <si>
    <t>DR56MU1U</t>
  </si>
  <si>
    <t>Transportar, 29,110 m3 produtos florestais (madeiras serradas), com DOF série 21383160, para a empresa Domingues e Rodrigues Comércio de Materiais de Construção Ltda, CNPJ 12.568.684/0001-01, mediante fraude com alocação de placa inválida.</t>
  </si>
  <si>
    <t>7DUU0SXJ</t>
  </si>
  <si>
    <t>Expor à venda 44 espécimes da fauna silvestre nativa (Aves), dos quais 5 constantes em lista oficial de fauna em extinção, sem as devidas licenças do órgão competente e em endereço comercial (Agropecuária Dadá Rações).</t>
  </si>
  <si>
    <t>Renato Osmar Nunes</t>
  </si>
  <si>
    <t>Rua Antonio Ramos, n 99, São João.</t>
  </si>
  <si>
    <t>24 Inc. 1,2,3, § 1,3 Decreto 6514/2008.</t>
  </si>
  <si>
    <t>3RIYDO4B</t>
  </si>
  <si>
    <t>Ter em Cativeiro 02(duas) espécime da fauna silvestre nativas, sendo: duas juritis, sem, autorização da autoridade competente.</t>
  </si>
  <si>
    <t>Ipaporanga</t>
  </si>
  <si>
    <t>Luis Rodrigues Pereira</t>
  </si>
  <si>
    <t>Vila sagramento B2 Zona Rural</t>
  </si>
  <si>
    <t>OSJW8441</t>
  </si>
  <si>
    <t>Deixar de atender as condicionantes 1.3, 2.1, 2.16 e 2.17 da LI 1096/2015 2° retificação</t>
  </si>
  <si>
    <t>MATA DE SANTA GENEBRA TRANSMISSÃO SA</t>
  </si>
  <si>
    <t>P5ZBEGMB</t>
  </si>
  <si>
    <t>Transportar 27,610 m3 produtos florestais (madeiras serradas), com DOF série 21813510, código controle 5252 9547 1691 3987, mediante fraude e alocação de placa inválida.</t>
  </si>
  <si>
    <t>U7J0OVIA</t>
  </si>
  <si>
    <t>Destruir 73,36 hectares de vegetação nativa na região amazônica, objeto de especial preservação, mediante uso de fogo, sem autorização da autoridade ambiental competente, conforme polígono coordenadas geográficas, anexo ao processo. Observação: ID 2019AWS000031531.</t>
  </si>
  <si>
    <t>JANICE CRISTIANE ZEPPENFELD</t>
  </si>
  <si>
    <t>Desmatamento e Queimada</t>
  </si>
  <si>
    <t>Linha CEMEX, Comunidade Pau Rosa, região Rio Moju, coordenadas geográficas: "03°03'37,3" S, "54°35'54,2" W, ID: 2019AWS000031531.</t>
  </si>
  <si>
    <t>60 I Decreto 6514; 70 1º Lei 9605; 72 Lei 9605; 3º II Decreto 6514; 3º VII Decreto 6514.</t>
  </si>
  <si>
    <t>50, Parágrafo 2 6.514/2008.</t>
  </si>
  <si>
    <t>RL807S8P</t>
  </si>
  <si>
    <t>Apresentar informação falsa em Sistema Oficial de Controle (SISDOF/SICAFI/CTF) ao cadastrar o suposto veículo de transporte de produtos florestais de placa EJE7626 (CHEVROLET/MONTANA LS, ano 2011/2012, veículo de terceiro), com o propósito de burlar a fiscalização do veículo de placa EJZ7626 que está bloqueada, culminando na emissão dos DOFs 21383160 e 21299088 e DOF Consumidor Final 21895401 e 21813510.</t>
  </si>
  <si>
    <t>ST75UV09</t>
  </si>
  <si>
    <t>Utilizar espécime da fauna silvestre nativa em desacordo com a licença (reprodução da ave mãe anilha IBAMA OA 3.5 407246 sem prévio requerimento de anilhas).</t>
  </si>
  <si>
    <t>DARCI PELEGRINO ZAMBRANO</t>
  </si>
  <si>
    <t>GUW7SSPH</t>
  </si>
  <si>
    <t>Ter em Depósito produto tóxico à saúde humana (agrotóxico de origem estrangeira) e perigoso ao meio ambiente, em desacordo com as exigências estabelecidas em leis ou em seus regulamentos, na propriedade Fazenda Espinilho. Obs: 08 embalagens de agrotóxicos, quais sejam:
- 01 Embalagem de 01 L, rótulo parcialmente legível.de origem estrangeira. 
- 01 Embalagem de 01 L, Adherex, Tafirel, rotulo parcialmente legivel, de origem estrangeira. 
-02 Embalagens de 20 L, CLOMAGAN 480, de origem estrangeira. 
- 01 Embalagem de 05 L, Nutrea 70347de origem estrangeira.
-01 Embalagem de 20 Herbicida Consultor Rambow, Vlomazona 44.9 %, de origem estrangeira. 
- 01 Embalagem de 05 L, Fungicida Cura semillas ZENTROPFS, de origem estrangeira
- 01 Embalagem de 05 L, Herbicida Libertador, de origem estrangeira.</t>
  </si>
  <si>
    <t>Fazenda Espinilho. Zona rural de Quaraí.</t>
  </si>
  <si>
    <t>8 e 85, . Decreto Federal 4074 de 2002.; 1, . Lei Federal 7802 de 1989.</t>
  </si>
  <si>
    <t>DK8YME6P</t>
  </si>
  <si>
    <t>Ter em depósito produtos tóxicos à saùde humana e perigoso ao meio ambiente (1,08kg de agrotóxico uruguaio sem registro no Brasil), em desacordo com as exigências estabelecidas em leis ou em seus regulamentos, conforme relação anexa.</t>
  </si>
  <si>
    <t>Augusto Pestana</t>
  </si>
  <si>
    <t>HEINZ EDUARDO SCHUNEMAN</t>
  </si>
  <si>
    <t>Vila Ijuizinho</t>
  </si>
  <si>
    <t>8,   DF 4074/2002; 64,   DF 4074/2002; 85,   DF 4074/2002.</t>
  </si>
  <si>
    <t>ZWHZH78S</t>
  </si>
  <si>
    <t>Fazer funcionar atividade considerada efetiva ou potencialmente poluidora (transporte interestadual de produtos perigosos);  em desacordo com a licenca obtida. No ato da fiscalização o transportador não portava autorização e os veículos de transportes não constavam na autorização emitida pela empresa.</t>
  </si>
  <si>
    <t>EMPRESA DE TRANSPORTES ATLAS LTDA</t>
  </si>
  <si>
    <t>Rodovia Presidente Dutra Km 210</t>
  </si>
  <si>
    <t>72 Lei 9605/98; 70 § 1 Lei 9605/98; 3 Inc. 2,4 Decreto 6514/2008.</t>
  </si>
  <si>
    <t>66, caput decreto 6514/08.</t>
  </si>
  <si>
    <t>YRUM0BV4</t>
  </si>
  <si>
    <t>Efetuar a Plataforma de Pargo 1 (PPG-1), o descarte de água produzida em desaordo com a regulamentação específica no mes de junho de 2018. Teor de Oleos e Graxas - TOG com valor Medio Mensal de 36,1 mg/l, superior ao valor máximo de 29 mg/l estabelecido pela Resolução CONAMA 393/2007.</t>
  </si>
  <si>
    <t>Campo de Pargo</t>
  </si>
  <si>
    <t>1C9FBE57</t>
  </si>
  <si>
    <t>Vender, 33,207 m3 produtos florestais (madeiras serradas) com DOF série 21299088, para a empresa Madeireira Porto Bello Eireli-ME, CNPJ 20.002.703/0001-66, mediante fraude com alocação de placa inválida.</t>
  </si>
  <si>
    <t>MADEIRA MODELO EIRELI</t>
  </si>
  <si>
    <t>1L61KQAC</t>
  </si>
  <si>
    <t>Guardar duas carcaças de animais da Fauna Silvestres nativa, sem a devida autorização ambiental.</t>
  </si>
  <si>
    <t>Roberto Vagner Bezerra Almeida</t>
  </si>
  <si>
    <t>Povoado Baixa Grande</t>
  </si>
  <si>
    <t>CX9I6393</t>
  </si>
  <si>
    <t>Efetuar a Plataforma de Namorado - 2 (PNA-2) no dia 08 de março de 2018, o descarte de água produzida em desaordo com a regulamentação específica. Teor de Oleos e Graxas - TOG de 117 mg/l, superior ao valor máximo de 42 mg/l estabelecido pela Resolução CONAMA 393/2007.</t>
  </si>
  <si>
    <t>9N3HA0TH</t>
  </si>
  <si>
    <t>Deixar de apresentar relatórios RAPP da lei 10165, referente aos anos de 2016/2015,2017/2016,2018/2017,2019/2018.</t>
  </si>
  <si>
    <t>M S DA CRUZ PEIXES ORNAMENTAIS - ME</t>
  </si>
  <si>
    <t>Av. Jovita Feitosa, 1081 loja 01</t>
  </si>
  <si>
    <t>J7E5RXTF</t>
  </si>
  <si>
    <t>Efetuar a Plataforma FPSO P-58, no dia 02 de abril de 2019, o descarte de água produzida em desaordo com a regulamentação específica. Teor de Oleos e Graxas - TOG de 51 mg/l, superior ao valor máximo de 42 mg/l estabelecido pela Resolução CONAMA 393/2007.</t>
  </si>
  <si>
    <t>Campos de Jubarte e Baleia An¿</t>
  </si>
  <si>
    <t>OG77SKAU</t>
  </si>
  <si>
    <t>Vender, 29,110 m3 produtos florestais (madeiras serradas) com DOF série 21383160, para a empresa Domingues e Rodrigues Comércio de Materiais de Construção Ltda, CNPJ 12 568.684/0001-01, mediante fraude com alocação de placa inválida.</t>
  </si>
  <si>
    <t>MADEIREIRA MODELO EIRELI ME</t>
  </si>
  <si>
    <t>9HRGHKRA</t>
  </si>
  <si>
    <t>Utilizar espécime da fauna silvestre nativa em desacordo com a licença (reprodução da ave mãe anilha Sispass 3.5 SP/A 050677 sem prévio requerimento de anilhas).</t>
  </si>
  <si>
    <t>EVANDRO DEBOLETTA</t>
  </si>
  <si>
    <t>N07UMDFH</t>
  </si>
  <si>
    <t>Deixar de apresentar as documentações solicitadas (LP e LI) de Parcelamento de Solo, conforme descrito na notificação n° 701331/E, Processo n° 02029.000852/2019-22.</t>
  </si>
  <si>
    <t>Palmas</t>
  </si>
  <si>
    <t>TO</t>
  </si>
  <si>
    <t>ASSOCIAÇÃO PARQUE DO AEROPORTO</t>
  </si>
  <si>
    <t>Assciação Parque do Aeroporto, zona suburbana de Palmas/TO.</t>
  </si>
  <si>
    <t>T8LZ7DSQ</t>
  </si>
  <si>
    <t>Destruir 61,80 hectares de floresta nativa do bioma Amazônia, objeto de especial preservação, sem autorização ou licença da autoridade ambiental competente.</t>
  </si>
  <si>
    <t>Boca do Acre</t>
  </si>
  <si>
    <t>Francilene da Silva Alves</t>
  </si>
  <si>
    <t>Municipio de Boca do Acre
Estado do Amazonas
Zona Rural
Fazenda Imbaubal</t>
  </si>
  <si>
    <t>CONTROLE REMOTO XV</t>
  </si>
  <si>
    <t>50 § 1,2 Decreto 6514/2008.</t>
  </si>
  <si>
    <t>WC34M64J</t>
  </si>
  <si>
    <t>Descumprir embargo de atividade estabelecido pelo TE n°. 618961/C, conforme Processo n°02502.000044/2013-37</t>
  </si>
  <si>
    <t>PAULO BENAGOURO DE CARVALHO</t>
  </si>
  <si>
    <t>Linha 21, Km 10, Lote 40, Zona Rural do Município de Costa Marques Ro</t>
  </si>
  <si>
    <t>SLNKQ13Y</t>
  </si>
  <si>
    <t>Efetuar a Plataforma FPSO P-47, no dia 22 de abril de 2015, o descarte de água produzida em desaordo com a regulamentação específica. Teor de Oleos e Graxas - TOG de 47 mg/l, superior ao valor máximo de 42 mg/l estabelecido pela Resolução CONAMA 393/2007.</t>
  </si>
  <si>
    <t>QXB7WKA5</t>
  </si>
  <si>
    <t>Danificar 8,9 hectares de floresta nativa no interior da Floresta Estadual do Amapá, sem autorização da autoridade ambiental competente.</t>
  </si>
  <si>
    <t>Tartarugalzinho</t>
  </si>
  <si>
    <t>Francisco Assis da Silva Oliveira</t>
  </si>
  <si>
    <t>Área de exploração florestal no interior do Projeto e Assentamento Bom Jesus, zona rural de Tartarug</t>
  </si>
  <si>
    <t>KXVF9QW8</t>
  </si>
  <si>
    <t>Efetuar a Plataforma FPSO P-58, no dia 09 de abril de 2019, o descarte de água produzida em desaordo com a regulamentação específica. Teor de Oleos e Graxas - TOG de 86  mg/l, superior ao valor máximo de 42 mg/l estabelecido pela Resolução CONAMA 393/2007.</t>
  </si>
  <si>
    <t>JTE4BTLA</t>
  </si>
  <si>
    <t>Desmatar 237,32 hectares de floresta de vegetação nativa (Objeto de especial preservação Amazônia Brasileira), sem autorização do órgão ambiental competente.
ID. n°: 2019AWS000008694.
Coordenadas Geográficas do polígono, conforme carta imagem anexa ao processo.</t>
  </si>
  <si>
    <t>São Francisco do Guaporé</t>
  </si>
  <si>
    <t>RENATO SENA SANTANA</t>
  </si>
  <si>
    <t>Linha 95-B, km 16</t>
  </si>
  <si>
    <t>KB8RUON9</t>
  </si>
  <si>
    <t>Ter em cativeiro dez espécimes da fauna silvestres nativa, espécie esta listada no anexo II da lista CITES, sem devida autorização ambiental.</t>
  </si>
  <si>
    <t>Manoel Emilio da Silva</t>
  </si>
  <si>
    <t>BBS5T1ZZ</t>
  </si>
  <si>
    <t>Transportar 21,593 m3 de madeiras serradas (forro, decking, guarnições), em desacordo com as licenças emitidas (GF3), roteiro de diferente do informado.</t>
  </si>
  <si>
    <t>MADEZIL MADEIRAS LTDA EPP</t>
  </si>
  <si>
    <t>BR 060 - Posto da Polícia Rodoviária Federal - KM 390</t>
  </si>
  <si>
    <t>1JW3ZHG3</t>
  </si>
  <si>
    <t>Destruir 9,19 ha (nove hectares e dezenove ares) de vegetação nativa secundária em estágio médio de regeneração do bioma Mata Atlântica, no Sítio das Palmeiras (Ubaporanga/MG), objeto de especial preservação, sem autorização (não passível de autorização para exploração ou supressão).</t>
  </si>
  <si>
    <t>José Carlos Ribeiro</t>
  </si>
  <si>
    <t>Sítio das Palmeiras - Córrego Batatal, Distrito São Sebastião do Batatal - Ubaporanga/MG</t>
  </si>
  <si>
    <t>7RO87RVN</t>
  </si>
  <si>
    <t>Apresentar informação falsa em Sistema Oficial de Controle (SISDOF), ao emitir o DOF Consumidor Final 21813510, código controle 5252 9547 1691 3987, para a pessoa física de Tarcísio Silva Gonçalves, CPF xxx, que possui atividade econômica vinculada ao controle florestal (Art 50, da IN IBAMA 21/2014, alterada pela IN 09/2016, para o recebimento no empreendimento Tarcísio Madeiras Ltda CNPJ 09.911.179/0001-03.</t>
  </si>
  <si>
    <t>Pátio Madeireira Modelo Eireli ME - Alto Paraíso</t>
  </si>
  <si>
    <t>CI79E9IG</t>
  </si>
  <si>
    <t>Efetuar a Plataforma de Pargo (PPG-1), no dia 10 de fevereiro de 2019, o descarte de água produzida em desaordo com a regulamentação específica. Teor de Oleos e Graxas - TOG de 44 mg/l, superior ao valor máximo de 42 mg/l estabelecido pela Resolução CONAMA 393/2007.</t>
  </si>
  <si>
    <t>CGK0JWKQ</t>
  </si>
  <si>
    <t>Deixar de apresentar relatório ambiental do protocolo de Montreal referente ao ano de 2019/2018 no prazo exigido pela legislação.</t>
  </si>
  <si>
    <t>UNIVERSIDADE ESTADUAL PAULISTA</t>
  </si>
  <si>
    <t>Viracopos. Unesp Rio Claro. Processo 02285.000.842/2019-66 deixar de apresentar relatório protocolo de Montreal.</t>
  </si>
  <si>
    <t>1QRI2ZTP</t>
  </si>
  <si>
    <t>DESTRUIR 9,52 HRCTARES DE FLORESTA NATIVA, OBJETO DE ESPECIAL PRESERVAÇÃO, SEM AUTORIZAÇÃO DO ÓRGÃO AMBIENTAL COMPETENTE, CONFORME POLIGONAL IDENTIFICADA COMO 2019AWS000043376.</t>
  </si>
  <si>
    <t>Nova Monte Verde</t>
  </si>
  <si>
    <t>VALDECI DE JESUS COSTA</t>
  </si>
  <si>
    <t>Area desmembrada da Faz. Conquista, Gleba 01, Parcela H, zona rural de Nova Monte Verde.</t>
  </si>
  <si>
    <t>50 Decreto 6514; 70 1º Lei 9605; 72 Lei 9605; 3º II Decreto 6514.</t>
  </si>
  <si>
    <t>225, §4° CF/88.</t>
  </si>
  <si>
    <t>1I0T96ID</t>
  </si>
  <si>
    <t>Apresentar informação falsa em procedimento administrativo ambiental de fiscalização. No caso a Universidade informou quantidade de tubos e tipo de material divergente do encontrado.</t>
  </si>
  <si>
    <t>Viracopos processo 02285-000 84 1/2019 Apresentar informação falsa na fiscalização. Unesp Rio Claro.</t>
  </si>
  <si>
    <t>2IXUO2HH</t>
  </si>
  <si>
    <t>Destruir por corte raso área total de 25,01 hectares de vegetação nativa do Bioma Amazônico, objeto de especial preservação em uma poligonal, referente ao ID AWS000037788, sem autorização do órgão ambiental competente, de acordo com carta imagem constante no processo.</t>
  </si>
  <si>
    <t>Carlos Antônio Benítez</t>
  </si>
  <si>
    <t>Ramal da Pedreira 90, Palhauzinho</t>
  </si>
  <si>
    <t>RI8SO6EK</t>
  </si>
  <si>
    <t>Destruir 57,89 ha de vegetação nativa, objeto de especial preservação (floresta amazônica), no Sítio dos Carneiros - Belterra - PA, sem autorização do órgão ambiental competente, conforme polígono de coordenadas anexo ao processo.
ID: AWS000031528 - Centroíde 03º05'16"S / 54º51'45"W.</t>
  </si>
  <si>
    <t>Belterra</t>
  </si>
  <si>
    <t>Celivalda Lima Carneiro</t>
  </si>
  <si>
    <t>Vicinal São Benedito - Sítio Retiro dos Carneiros</t>
  </si>
  <si>
    <t>XIIS4Z30</t>
  </si>
  <si>
    <t>Vender, 37,610 m3 de produtos florestais (madeiras serradas), com DOF Consumidor Final 21823510, código de controle 5252 9547 1691 3987, mediante fraude e alocação de placa inválida.</t>
  </si>
  <si>
    <t>Madeireira Modelo Eireli - ME</t>
  </si>
  <si>
    <t>Pátio Madeireira Modelo - Alto Paraíso</t>
  </si>
  <si>
    <t>HPJG38MI</t>
  </si>
  <si>
    <t>Ter em depósito produto tóxico à saúde humana e perigoso ao meio ambiente (agrotóxico com prazo de validade vencida há mais de seis meses), em desacordo com as exigências estabelecidas em leis ou em seus regulamentos.</t>
  </si>
  <si>
    <t>Mamanguape</t>
  </si>
  <si>
    <t>Usina Monte Alegre S/A</t>
  </si>
  <si>
    <t>57, . 4.074/2002.</t>
  </si>
  <si>
    <t>9MB3ML3N</t>
  </si>
  <si>
    <t>Guarda e manutenção de um ouriço pigmeu africano (Atelerix albiventris), animal exótico no Brasil introduzido sem parecer técnico oficial favorável e licença expedida pela autoridade ambiental competente.</t>
  </si>
  <si>
    <t>Agropecuária Dadá Rações CNPJ 22.516.190/0001-37</t>
  </si>
  <si>
    <t>0HZVMUH5</t>
  </si>
  <si>
    <t>Fornecer dados inconsistentes/fraudados em sistema oficial de controle de passeriformes Sispass (declarar falsa data de nascimento das aves de anilhas Sispass 2.2 SP/A 075433 e 075434 vinculadas a ave mãe Sispass 2.2 SP/A 043956).</t>
  </si>
  <si>
    <t>ANTONIO CUSTODIO JORGE NETO</t>
  </si>
  <si>
    <t>UT II São José do Rio Preto</t>
  </si>
  <si>
    <t>ATI2018T</t>
  </si>
  <si>
    <t>Apresentar informação omissa em sistema oficial de controle. No caso a Universidade deixou de escrever-se na categoria 20-5 (utilização do patrimônio genético natural) do Cadastro Técnico Federal necessária para exercer, dentre outras, as atividades de envio e remessa.</t>
  </si>
  <si>
    <t>Viracopos. Processo 02285.000.840/2019-77 Informação omissa em sistema. CTF 20-5.</t>
  </si>
  <si>
    <t>9DEEZH10</t>
  </si>
  <si>
    <t>Destruir 1,32 ha (um hectare e trinta e dois ares) de vegetação nativa secundária em estágio médio de regeneração do bioma Mata Atlântica, no Sítio das Palmeiras (Ubaporanga/MG), objeto de especial preservação, sem autorização (não passível de autorização para exploração ou supressão).</t>
  </si>
  <si>
    <t>1, 1, 2, 3 Decreto Federal 6.660/2008.</t>
  </si>
  <si>
    <t>YUIRWNYJ</t>
  </si>
  <si>
    <t>Apresentar informação falsa em Sistema Oficial de Controle (SISDOF), ao emitir o DOF Consumidor Final 21895401, código controle 6453 4478 5834 6138, para a pessoa física de Eunice Ribeiro Barcelos, CPF xxx, que possui atividade econômica vinculada ao controle florestal (Art. 50, da IN IBAMA 21/2014, alterada pela IN 09/2016), para o recebimento no empreendimento Madeireira Amazônica Eireli ME, CNPJ 21.045.234/0001-80.</t>
  </si>
  <si>
    <t>Madeireira Modelo Eireli ME</t>
  </si>
  <si>
    <t>5E0H6JED</t>
  </si>
  <si>
    <t>DESTRUIR 106,9 HECTARES DE FLORESTA NATIVA, OBJETO DE ESPECIAL PRESERVAÇÃO, SEM AUTORIZAÇÃO DO ÓRGÃO AMBIENTAL COMPETENTE, CONFORME POLIGONAL IDENTIFICADA COMO 2019AWS000039387.</t>
  </si>
  <si>
    <t>VALDIR CHRISTOFERO</t>
  </si>
  <si>
    <t>Área da Faz. Conquista, desmembrada. Parcela 01, gleba G.</t>
  </si>
  <si>
    <t>MHQCVTA2</t>
  </si>
  <si>
    <t>Destruir 43,12 hectares de floresta nativa na Região Amazônica, objeto de especial preservação, sem a licença outorgada pela autoridade ambiental competente, no polígono de coordenadas centrais 12°20'29,31S e 64°01'24,14" W, de id 2019AMC00000009, conforme mapa com análise temporal de imagens anexo ao processo.</t>
  </si>
  <si>
    <t>EURIDICE MARQUES TOMAZ</t>
  </si>
  <si>
    <t>Linha 22C, km 52, 30 sul</t>
  </si>
  <si>
    <t>9FZSEP2I</t>
  </si>
  <si>
    <t>Desmatar 37,5 há de floresta nativa sem autorização dos Órgãos ambientais competente.
De acordo com Despacho n 3378483/2018-NUFIS-AM/DITEC-AM/SUPES-AM, do Processo n 02005.000137/2014-53.</t>
  </si>
  <si>
    <t>Lábrea</t>
  </si>
  <si>
    <t>Rudney da Silva Maia</t>
  </si>
  <si>
    <t>Fazenda bom sossego, Lábrea/AM</t>
  </si>
  <si>
    <t>50,    6.514/08.</t>
  </si>
  <si>
    <t>GDM4P4YQ</t>
  </si>
  <si>
    <t>Utilizar espécimes (três Nhambús)  da fauna silvestre sem autorização do órgão ambiental competente.</t>
  </si>
  <si>
    <t>JOSE DA SILVA MARTINS</t>
  </si>
  <si>
    <t>Praia do Rio Juruá AC</t>
  </si>
  <si>
    <t>G1POD6YL</t>
  </si>
  <si>
    <t>Guardar 01 (uma) espécime da fauna silvestre, sendo: um tatú peba abatido, sem autorização da autoridade competente.</t>
  </si>
  <si>
    <t>Luiz Rodrigues Pereira</t>
  </si>
  <si>
    <t>Vila Sacramento no município de Ipaporanga/CE, CEP: 62.215-000, B2 Zona Rural</t>
  </si>
  <si>
    <t>24 Inc. 1,3, § 1,3 Decreto 6514/2008.</t>
  </si>
  <si>
    <t>GLJQB71W</t>
  </si>
  <si>
    <t>Deixar de atender a exigências legais ou regulamentares, quando devidamente notificado pela autoridade ambiental competente no prazo concedido, visando à adoção de medidas de controle para cessar a degradação ambiental.</t>
  </si>
  <si>
    <t>Poços de Caldas</t>
  </si>
  <si>
    <t>INDÚSTRIAS NUCLEARES DO BRASIL S/A</t>
  </si>
  <si>
    <t>Unidade de Tratamentos Minerários</t>
  </si>
  <si>
    <t>19, III Resolução CONAMA n° 237/1997.</t>
  </si>
  <si>
    <t>USMPKCZR</t>
  </si>
  <si>
    <t>Fazer funcionar atividade potencialmente poluidora, fabricação de gesso,sem a cobertura da licença de operação emitida pelo órgão ambiental competente.</t>
  </si>
  <si>
    <t>GESSO SANTO ANTONIO EIRELI</t>
  </si>
  <si>
    <t>Rodovia BR 316, Km 365, S/N distrito de Moraes, município de Araripina/PE</t>
  </si>
  <si>
    <t>1Z6N9DVF</t>
  </si>
  <si>
    <t>Remeter, diretamente ou por interposta pessoa, amostra de patrimônio genético (espécies de insetos) ao exterior sem o cadastro prévio ou em desacordo com este, por meio da remessa expressa AWB 8103 1667 4053.</t>
  </si>
  <si>
    <t>Aeroporto de Viracopos Unesp Rio Claro processo 02285.000.839/2019 42. Remeter amostra de patrimônio genético.</t>
  </si>
  <si>
    <t>27 1º I Lei 13123; 70 1º Lei 9605; 72 Lei 9605; 3º I Decreto 6514.</t>
  </si>
  <si>
    <t>79, Caput 8772/2016; 71, I 8772; 72, I, II, III e IV 8772/2816.</t>
  </si>
  <si>
    <t>DQGF7XHM</t>
  </si>
  <si>
    <t>Vender, 30,013 m3 produtos florestais (madeiras serradas), sem licença válida, com DOF 21895401, código de controle 6453 4478 5834 6138, mediante fraude e alocação de placa inválida.</t>
  </si>
  <si>
    <t>MADEIREIRA MODELO EIRELI - ME</t>
  </si>
  <si>
    <t>LDLRK6P1</t>
  </si>
  <si>
    <t>Deixar de atender a condicionante 2.7, da Licença de Operação RLO n° 543/2006, conforme Paracer Técnico n° xxx.</t>
  </si>
  <si>
    <t>Praia de Cacimbas</t>
  </si>
  <si>
    <t>G2TQN2E0</t>
  </si>
  <si>
    <t>OBSTAR A AÇÃO DO PODER PÚBLICO NO EXERCÍCIO DE ATIVIDADES DE FISCALIZAÇÃO AMBIENTAL.</t>
  </si>
  <si>
    <t>RUA JEQUITIBÁ 853 BAIRRO NOVA TURMALINA.</t>
  </si>
  <si>
    <t>KRV6W645</t>
  </si>
  <si>
    <t>Efetuar a Plataforma de Garoupa (PGP-1), o descarte de água produzida em desaordo com a regulamentação específica no mes de junho de 2018. Teor de Oleos e Graxas - TOG com valor Medio Mensal de 29,9 mg/l, superior ao valor máximo de 29 mg/l estabelecido pela Resolução CONAMA 393/2007.</t>
  </si>
  <si>
    <t>Campo de Garoupa</t>
  </si>
  <si>
    <t>ZLJU1F3H</t>
  </si>
  <si>
    <t>Deixar de atender a condicionantes 2.2 PMAVE estabelecidas na Licença Ambiental 1451/2018.</t>
  </si>
  <si>
    <t>Petrobras - Petróleo Brasileiro S.A. UO-BC</t>
  </si>
  <si>
    <t>VLS7JX3Y</t>
  </si>
  <si>
    <t>Efetuar a Plataforma de Garoupa (PGP-1), o descarte de água produzida em desacordo com a regulamentação específica no mes de junho de 2018. Teor de Oleos e Graxas - TOG com valor Medio Mensal de 29,9 mg/l, superior ao valor máximo de 42 mg/l estabelecido pela Resolução CONAMA 393/2007.</t>
  </si>
  <si>
    <t>MSITGGC5</t>
  </si>
  <si>
    <t>Ter em cativeiro 06(seis) espécimes da fauna nativa sem a devida autorização da autoridade competente.</t>
  </si>
  <si>
    <t>Posto da PRF na BR 304,</t>
  </si>
  <si>
    <t>JX9J6SIW</t>
  </si>
  <si>
    <t>Destruír 46,53 hectares de vegetação nativa na região amazônica, objeto de especial preservação, mediante uso de fogo, sem autorização da autoridade ambiental competente, conforme polígono com coordenadas, anexo ao processo. observação ID: AWS000037728.</t>
  </si>
  <si>
    <t>Marcos Daniel Sousa de Almeida</t>
  </si>
  <si>
    <t>Linha da CEMEX,  Comunidade Pau Rosa Coordenadas Geográficas: 03°02'56,4 S, 54°36'49,9, W, ID: AWS000037728</t>
  </si>
  <si>
    <t>60 Inc. 1 Decreto 6514/2008.</t>
  </si>
  <si>
    <t>50, Parágrafo 2 Decreto 6514.</t>
  </si>
  <si>
    <t>JG0UD5G1</t>
  </si>
  <si>
    <t>Efetuar a Plataforma de Pargo (PPG-1), no dia 09 de junho de 2018, o descarte de água produzida em desaordo com a regulamentação específica. Teor de Oleos e Graxas - TOG de 54 mg/l, superior ao valor máximo de 42 mg/l estabelecido pela Resolução CONAMA 393/2007.</t>
  </si>
  <si>
    <t>1IA39HRP</t>
  </si>
  <si>
    <t>Efetuar a Plataforma de Pargo (PPG-1), no dia 02 de julho de 2018, o descarte de água produzida em desaordo com a regulamentação específica. Teor de Oleos e Graxas - TOG de 43 mg/l, superior ao valor máximo de 42 mg/l estabelecido pela Resolução CONAMA 393/2007.</t>
  </si>
  <si>
    <t>JCAB9Z8T</t>
  </si>
  <si>
    <t>Efetuar a Plataforma de Pargo (PPG-1), no dia 05 de junho de 2018, o descarte de água produzida em desaordo com a regulamentação específica. Teor de Oleos e Graxas - TOG de 76 mg/l, superior ao valor máximo de 42 mg/l estabelecido pela Resolução CONAMA 393/2007.</t>
  </si>
  <si>
    <t>Z0Z798OT</t>
  </si>
  <si>
    <t>Efetuar a Plataforma de Pargo (PPG-1), no dia 06 de junho de 2018, o descarte de água produzida em desaordo com a regulamentação específica. Teor de Oleos e Graxas - TOG de 49 mg/l, superior ao valor máximo de 42 mg/l estabelecido pela Resolução CONAMA 393/2007.</t>
  </si>
  <si>
    <t>OEG16TK3</t>
  </si>
  <si>
    <t>Receber 28,1040 m3 de madeira serrada do bioma amazônica (Couratari guianensis) sem licença válida, outorgada pela autoridade competente.( DOF 18647800).</t>
  </si>
  <si>
    <t>HT COMERCIO DE MADEIRAS E FERRAGENS LTDA</t>
  </si>
  <si>
    <t>Pátio da HT Madeiras</t>
  </si>
  <si>
    <t>43, Art. 48, VI IN 21/2014.</t>
  </si>
  <si>
    <t>YXLCY63O</t>
  </si>
  <si>
    <t>Descumprir o embargo da área, objeto do Termo de embargo n° 2512 E, processo IBAMA n° 02502.000121/2015-11.</t>
  </si>
  <si>
    <t>Juracy de Oliveira Araújo</t>
  </si>
  <si>
    <t>Faz 2 Irmãos, Linha 21 G, Km 29, zona rural.</t>
  </si>
  <si>
    <t>ZC90N1DL</t>
  </si>
  <si>
    <t>Efetuar a instalação ENSCO 6001 - SS-56, no dia 13/03/2017, de acordo com o comunicado da Marinha do Brasil e registrado no SIEMA sob o n° 201982636045, a descarga de 0,001 metros cúbicos de óleo diesel em desacordo com a legislação e com o autorizado no processo de licenciamento.</t>
  </si>
  <si>
    <t>ENSCO DO BRASIL PETROLEO E GAS LTDA</t>
  </si>
  <si>
    <t>9 c/c 36, III, 1° e 2° parágrafos  Decreto 4.132/02
.</t>
  </si>
  <si>
    <t>24OFSFVN</t>
  </si>
  <si>
    <t>Destruir 44,87 hectares de vegetação nativa na região amazônica, objeto de especial preservação, sem autorização da autoridade ambiental competente, conforme polígono com coordenadas geográficas anexas ao processo.
Observação Identificador do Polígono: 2019AZO00000451
Fazenda Piquiá - Três Irmãos</t>
  </si>
  <si>
    <t>Raimundo Cavalcante da Silva</t>
  </si>
  <si>
    <t>Ramal da Cemex</t>
  </si>
  <si>
    <t>QZ8QND2Q</t>
  </si>
  <si>
    <t>Exportar 150 espécies de insetos da fauna silvestre sem a devida permissão, licença ou autorização da autoridade ambiental competente.</t>
  </si>
  <si>
    <t>Unesp Rio Claro processo 02285.000.821/2019 41. Aeroporto de Viracopos.</t>
  </si>
  <si>
    <t>24 3º III Decreto 6514; 70 1º Lei 9605; 72 Lei 9605; 3º II Decreto 6514; 3º IV Decreto 6514.</t>
  </si>
  <si>
    <t>VLLHARNA</t>
  </si>
  <si>
    <t>Efetuar a Plataforma de Garoupa  (PGP-1), no mes de julho de 2018 o descarte de água produzida em desacordo com a regulamentação específica. Teor de Óleos e Graxas - TOG Medio Mensal de 460  mg/l, superior ao valor máximo de 29 mg/l estabelecido pela Resolução CONAMA 393/2007.</t>
  </si>
  <si>
    <t>10NG41AX</t>
  </si>
  <si>
    <t>Efetuar o navio sonda Laguna Star, no dia 20/11/2017, de acordo com o comunicado da Marinha do Brasil e registrado no SIEMA sob o n° 201982632441, a descarga de 0,477m³ de fluído sintético de perfuração, em desacordo com a legislação e com o autorizado no processo de licenciamento.</t>
  </si>
  <si>
    <t>SERVIÇOS DE PETRÓLEO CONSTELLATION S.A.</t>
  </si>
  <si>
    <t>9 c/c 36, III, 1° e 2° parágrafos Decreto Federal 4.132/02.</t>
  </si>
  <si>
    <t>VESUBECZ</t>
  </si>
  <si>
    <t>Efetuar a Plataforma de Pargp  (PPG-1), no mes dezembro de 2018 o descarte de água produzida em desacordo com a regulamentação específica. Teor de Óleos e Graxas - TOG com Media Mensal de 35 mg/l, superior ao valor máximo de 29 mg/l estabelecido pela Resolução CONAMA 393/2007.</t>
  </si>
  <si>
    <t>Petroleo Brasileiro S. A. - Petrobras</t>
  </si>
  <si>
    <t>QAU11AZ8</t>
  </si>
  <si>
    <t>Deixar de apresentar relatório RAPP nos prazos estabelecidos nos anos de 2015 a 2019.</t>
  </si>
  <si>
    <t>PRESTIGE AQUARIUM LTDA</t>
  </si>
  <si>
    <t>SUEBED3O</t>
  </si>
  <si>
    <t>Exportar para o exterior (Espanha) 1 kg de peixe seco da espécie tubarão galha-branca ( Carcharhinus longimanus), espécime proveniente da coleta apanha e pesca proibida, sem licença ou autorização da autoridade competente.</t>
  </si>
  <si>
    <t>Jianhui Dong</t>
  </si>
  <si>
    <t>Aeroporto Internacional de Viracopos rodovia Santos Dumont km 66 - Jianhui Dong</t>
  </si>
  <si>
    <t>24, II, Parágrafo 3, III, 
 IN 01/2013.</t>
  </si>
  <si>
    <t>13QR5HOB</t>
  </si>
  <si>
    <t>Destruir 13.952 Hectares de floresta nativa no poligono AWS2019000040783 de coordenadas centroides Lat. 11° 32' 15.06'' S / Long. 62° 29'. 55.73'' W.</t>
  </si>
  <si>
    <t>Rosmary Babolim Novaes</t>
  </si>
  <si>
    <t>zona rural nas coordenadas acima</t>
  </si>
  <si>
    <t>FNRLOB27</t>
  </si>
  <si>
    <t>Destruir 34,46 Hectares de vegetação nativa objeto de especial preservação (Floresta Amazônica) sem autorização do órgão ambiental competente conforme polígono com coordenadas anexo ao processo observação ID 2019AWS000031528</t>
  </si>
  <si>
    <t>Raimundo Gomes Sampaio</t>
  </si>
  <si>
    <t>Fazenda Alta Floresta - Lote 245 Gleba Curua-Una Belterra/PA. CEP - 6814-000</t>
  </si>
  <si>
    <t>UW7IORN8</t>
  </si>
  <si>
    <t>Transportar dois espécimes da fauna silvestre nativa (01 caboclinho e 01 Papa capim) sem autorização da autoridade ambiental competente.</t>
  </si>
  <si>
    <t>JOSÉ WILSON MOURA DE LIRA</t>
  </si>
  <si>
    <t>posto PRF BR 406, São Gonçalo do Amarante</t>
  </si>
  <si>
    <t>XYCMND41</t>
  </si>
  <si>
    <t>Transportar 30,8 estéreos de lenha de espécies nativas diversas sem documento de origem outorgado por órgão ambiental competente - DOF, no veículo tipo caminhão, placas KFQ 5601</t>
  </si>
  <si>
    <t>Genival Carlos Viana</t>
  </si>
  <si>
    <t>2° Delegacia de plantão da zona norte</t>
  </si>
  <si>
    <t>P58ML93T</t>
  </si>
  <si>
    <t>Deixar de apresentar declaração de estoque de lagosta em Caldas, na quantidade de 2,4kg na espécime (Vermelha).</t>
  </si>
  <si>
    <t>Cabedelo</t>
  </si>
  <si>
    <t>Cavalcanti Bar e Restaurante Ltda-ME</t>
  </si>
  <si>
    <t>Av Argemiro de Figueiredo 1932</t>
  </si>
  <si>
    <t>LAG ARGUS</t>
  </si>
  <si>
    <t>YWATXE4M</t>
  </si>
  <si>
    <t>Descumprir obrigação prevista no sistema de logística reversa implantado nos termos da Lei n° 12.305, de 2010, consoante as responsabilidades específicas estabelecidas para o referido sistema: deixar de destinar OLUC referente a meta/ano de 2018.</t>
  </si>
  <si>
    <t>UNIVAR BRASIL LTDA.</t>
  </si>
  <si>
    <t>33, IV Lei n° 12.305/2010; 62, XII Decreto n° 6.514/2008.</t>
  </si>
  <si>
    <t>QZ92ZPLQ</t>
  </si>
  <si>
    <t>Descumprir obrigação prevista no sistema de logística reversa implantado nos termos da Lei n° 12.305/2010, consoante as responsabilidades específicas estabelecidas para o referido sistema: deixar de destinar OLUC referente a meta/ano de 2018.</t>
  </si>
  <si>
    <t>Araucária</t>
  </si>
  <si>
    <t>THERMO KING DO BRASIL LTDA</t>
  </si>
  <si>
    <t>TZUA8UR1</t>
  </si>
  <si>
    <t>Deixar de inscrever-se no Cadastro Técnico Federal, de que trata o art. 17 da Lei n° 6.938/1981.</t>
  </si>
  <si>
    <t>TG IND. E COMERCIO DE LUBRIFICANTES E GRAXAS LTDA</t>
  </si>
  <si>
    <t>76, IV Decreto n° 6.514/2008; 17, . Lei n° 6.938/1981.</t>
  </si>
  <si>
    <t>6HRUJ6BT</t>
  </si>
  <si>
    <t>Danificar 49 hectares de vegetação nativa no bioma Amazônia, objeto de especial preservação, sem autorização da autoridade ambiental competente. ID 2018AWS00008702</t>
  </si>
  <si>
    <t>Ricardo Duarte de Almeida</t>
  </si>
  <si>
    <t>Linha 22, km 30, assentamento Bom Jesus</t>
  </si>
  <si>
    <t>MLTVMPJN</t>
  </si>
  <si>
    <t>MS79YUDQ</t>
  </si>
  <si>
    <t>Pescar mediante a utilização de apetrechos e técnicas não permitidos (arbalete na pesca subaquática) no Rio Paraná, a jusante da UHE DE Jupiá, durante a piracema.</t>
  </si>
  <si>
    <t>Três Lagoas</t>
  </si>
  <si>
    <t>Fábio Henriquede França</t>
  </si>
  <si>
    <t>Porto do bairro de Jupiazinho</t>
  </si>
  <si>
    <t>ARPÃO FINAL</t>
  </si>
  <si>
    <t>35 II Decreto 6514; 70 1º Lei 9605; 72 Lei 9605; 3º II Decreto 6514.</t>
  </si>
  <si>
    <t>6°, Parágrafo único Instrução Normativa 25 2009.</t>
  </si>
  <si>
    <t>AY0GWPXW</t>
  </si>
  <si>
    <t>Destruir 52,3974 ha de floresta nativa na Região Amazônica, objeto de especial preservação, sem a licença outorgada pelo órgão ambiental competente, no polígono de coordenadas centrais 12° 20' 54" S e 64° 01' 48" W, de ID_2018AWS000014158, conforme mapa com análise temporal de imagens anexo.</t>
  </si>
  <si>
    <t>JURACY DE OLIVEIRA ARAUJO</t>
  </si>
  <si>
    <t>linha 21-G, km 29, Faz. 2 irmãos</t>
  </si>
  <si>
    <t>W3XBF9YC</t>
  </si>
  <si>
    <t>Jaboatão dos Guararapes</t>
  </si>
  <si>
    <t>RESOLUX DO BRASIL INDUSTRIA E COMERCIO ESPECIALIZADO EM ENERGIA EOLICA LTDA</t>
  </si>
  <si>
    <t>33, IV Lei n° 12.305/2010; 62, XII Decreto n° 6.515/2008.</t>
  </si>
  <si>
    <t>IWF4F4LK</t>
  </si>
  <si>
    <t>Franco da Rocha</t>
  </si>
  <si>
    <t>TAMCO LUBRIFICANTES E DERIVADOS LTDA</t>
  </si>
  <si>
    <t>NULZJOIC</t>
  </si>
  <si>
    <t>SHRIEVE QUÍMICA DO BRASIL LTDA.</t>
  </si>
  <si>
    <t>X24YCHMI</t>
  </si>
  <si>
    <t>ROBERT BOSCH LIMITADA</t>
  </si>
  <si>
    <t>C4178I1H</t>
  </si>
  <si>
    <t>Indaial</t>
  </si>
  <si>
    <t>Rexxolub Lubrificantes Especiais EIRELI</t>
  </si>
  <si>
    <t>YF51XTVR</t>
  </si>
  <si>
    <t>Efetuar a Plataforma de Garoupa  (PGP-1), no dia 08 de maio de 2018 o descarte de água produzida em desacordo com a regulamentação específica. Teor de Óleos e Graxas - TOG de 6250 mg/l, superior ao valor máximo de 42 mg/l estabelecido pela Resolução CONAMA 393/2007.</t>
  </si>
  <si>
    <t>38, caput Decreto 4.167/2002.</t>
  </si>
  <si>
    <t>RHUHQ1DJ</t>
  </si>
  <si>
    <t>Destruir 40,23 hectares de floresta nativa, objeto de especial preservação, sem autorização do órgão ambiental competente, conforme polígono 2019AWS000039388.</t>
  </si>
  <si>
    <t>ALCINDO DE LIMA COUTINHO</t>
  </si>
  <si>
    <t>MT 208, Km 42, Nova Monte Verde/MT</t>
  </si>
  <si>
    <t>5MFLBRPC</t>
  </si>
  <si>
    <t>Danificar 3,4 hectares de floresta nativa Amazônica, objeto de especial preservação, com o uso de fogo, coordenadas geográficas de referência 05°31'562" S 50°27'49,6" W. Fazenda São Judas Tadeu.</t>
  </si>
  <si>
    <t>CARIOLANO BENTO DA LUZ</t>
  </si>
  <si>
    <t>Estrada do Volta Grande do Tapirapé. Igarapé Engano.</t>
  </si>
  <si>
    <t>H7VIPQ4A</t>
  </si>
  <si>
    <t>Efetuar a Plataforma de Garoupa (PGP-1), no dia 27 de abril de 2018 o descarte de água produzida em desacordo com a regulamentação específica. Teor de Óleos e Graxas - TOG de 49 mg/l, superior ao valor máximo de 42 mg/l estabelecido pela Resolução CONAMA 393/2007.</t>
  </si>
  <si>
    <t>GIIZR9TD</t>
  </si>
  <si>
    <t>Tapiraí</t>
  </si>
  <si>
    <t>QUÍMICA INDUSTRIAL SUPPLY LTDA</t>
  </si>
  <si>
    <t>VN7PVG9B</t>
  </si>
  <si>
    <t>QUANTIQ DISTRIBUIDORA LTDA</t>
  </si>
  <si>
    <t>33, IV Lei n° 12.305/2010; 62, XII Decreto n ° 6.514/2008.</t>
  </si>
  <si>
    <t>0HW88M89</t>
  </si>
  <si>
    <t>Cajamar</t>
  </si>
  <si>
    <t>Promax Produtos Máximos S/A Indústria e Comércio</t>
  </si>
  <si>
    <t>NMBOW7MQ</t>
  </si>
  <si>
    <t>Vargem Grande Paulista</t>
  </si>
  <si>
    <t>TRIBOTECNICA ESPECIALIDADES QUÍMICAS LTDA</t>
  </si>
  <si>
    <t>PV9M7H24</t>
  </si>
  <si>
    <t>Incorre nas mesmas multas do ART. 61 quem:
V - lançar resíduos sólidos, líquidos ou gasosos ou detritos, óleos ou substâncias oleosas em desacordo com as exigências estabelecidas em leis ou atos normativos.</t>
  </si>
  <si>
    <t>Cofis - CGFIS - Dipro</t>
  </si>
  <si>
    <t>62, inciso V Decreto 6514/2008.</t>
  </si>
  <si>
    <t>AXCYFD1U</t>
  </si>
  <si>
    <t>Efetuar a Plataforma FPSO Capixaba, no dia 22 de novembro de 2015 o descarte de água produzida em desacordo com a regulamentação específica. Teor de Óleos e Graxas - TOG de 48 mg/l, superior ao valor máximo de 42 mg/l estabelecido pela Resolução CONAMA 393/2007.</t>
  </si>
  <si>
    <t>Campo de Cachalote</t>
  </si>
  <si>
    <t>6LGX3DFR</t>
  </si>
  <si>
    <t>Destruir 27,071 hectares de floresta nativa na região amazônica, objeto de especial preservação, sem a licença outorgada pela autoridade ambiental competente
ID 2019 AMC000000015-B.</t>
  </si>
  <si>
    <t>Nova Brasilândia d'Oeste</t>
  </si>
  <si>
    <t>Osmano Freitas da Silva</t>
  </si>
  <si>
    <t>Fazenda Madalena em Nova Brasilândia</t>
  </si>
  <si>
    <t>QDTZOSX3</t>
  </si>
  <si>
    <t>Deixar de apresentar relatórios anuais da Lei 10165/2000 no Cadastro Técnico Federal-CTF, referentes aos anos de 2018/2017 e 2019/2018 nós prazos exigidos pela legislação.</t>
  </si>
  <si>
    <t>HOERBIGER TURBOTECH SERVIÇOS DE ENGENHARIA LTDA</t>
  </si>
  <si>
    <t>Aeroporto Internacional de Viracopos-SP</t>
  </si>
  <si>
    <t>ET5UZIER</t>
  </si>
  <si>
    <t>Efetuar a Plataforma de Garoupa  (PGP-1), no dia 14 de maio de 2018 o descarte de água produzida em desacordo com a regulamentação específica. Teor de Óleos e Graxas - TOG de 1891 mg/l, superior ao valor máximo de 42 mg/l estabelecido pela Resolução CONAMA 393/2007.</t>
  </si>
  <si>
    <t>J41UPA3F</t>
  </si>
  <si>
    <t>Efetuar a Plataforma de Cherne-2 (PCH-2), no dia 24 de janeiro de 2019 o descarte de água produzida em desacordo com a regulamentação específica. Teor de Óleos e Graxas - TOG de 47 mg/l, superior ao valor máximo de 42 mg/l estabelecido pela Resolução CONAMA 393/2007.</t>
  </si>
  <si>
    <t>7KGHTV9T</t>
  </si>
  <si>
    <t>Impedir ou dificultar a regeneração natural de 78,18 hectares de Floresta Ombrofila nativa após destruição da cobertura florestal</t>
  </si>
  <si>
    <t>Fazenda Imbaubal
Zona Rural
Municipio de Boca do Acre
Amazonas</t>
  </si>
  <si>
    <t>48 § 1,único Decreto 6514/2008.</t>
  </si>
  <si>
    <t>L2FBIH9N</t>
  </si>
  <si>
    <t>Efetuar a Plataforma de Cherne-2 (PCH-2), durante o mes de abril de 2019 o descarte de água produzida em desacordo com a regulamentação específica. Teor de Óleos e Graxas - TOG Medio  Mensal de 36 mg/l, superior ao valor máximo mensal de 29 mg/l estabelecido pela Resolução CONAMA 393/2007.</t>
  </si>
  <si>
    <t>WQSR08Y6</t>
  </si>
  <si>
    <t>Adquirir e ter em deposito, para fins comerciais, 59,192 m3 de madeira em tora da espécie Massaranduba e 11,923 m3 de madeira serrada da espécie Pequiá.</t>
  </si>
  <si>
    <t>ALCIDES BATISTA MARTINS</t>
  </si>
  <si>
    <t>Fazenda Boa Esperança-Zona Rural de Nova Bandeirantes.</t>
  </si>
  <si>
    <t>9RZ59ED6</t>
  </si>
  <si>
    <t>Destruir 100,9982 ha de floresta nativa na Região Amazônica, objeto de especial preservação, sem a licença outorgada pelo órgão ambiental competente, no polígono de coordenadas centrais 12° 21' 29" S e 64° 03' 27" W, de ID_2008AWS000005123, conforme mapa com análise temporal de imagens anexo.</t>
  </si>
  <si>
    <t>ABEL RAMOS</t>
  </si>
  <si>
    <t>Linha G, km 25, lote 30, gleba terra firme, setor São Domingos</t>
  </si>
  <si>
    <t>K7310YKQ</t>
  </si>
  <si>
    <t>Impedir a regeneração natural de floresta, em uma área de 0,0477 ha., de mata atlântica localizada na APP de um curso d´agua , sem licença ambiental do Órgão Ambiental competente.</t>
  </si>
  <si>
    <t>O Autuado se recusou a assinar</t>
  </si>
  <si>
    <t>Ubajara</t>
  </si>
  <si>
    <t>Impedir ou dificultar a regeneração natural de florestas ou demais formas de vegetação nativa.</t>
  </si>
  <si>
    <t>João José da Silva</t>
  </si>
  <si>
    <t>a margem CE 187</t>
  </si>
  <si>
    <t>70 §1º 72 Lei 9605/98; 3º II, VII 48 Decreto 6514/2008.</t>
  </si>
  <si>
    <t>RUSTYYJ4</t>
  </si>
  <si>
    <t>Campos de Cachalote e Baleia Franca</t>
  </si>
  <si>
    <t>7CK83TFR</t>
  </si>
  <si>
    <t>Deixar de apresentar relatórios anuais da Lei 10165/2000 no Cadastro Técnico Federal-CTF , referentes aos anos de 2015/2014, 2016/2015, 2017/2016, 2018/2017 e 2019/2018, nos prazos exigidos pela legislação.</t>
  </si>
  <si>
    <t>ECOLAB QUÍMICA LTDA</t>
  </si>
  <si>
    <t>T78R30PP</t>
  </si>
  <si>
    <t>Destruir 200,5115 ha de floresta nativa na Região Amazônica, objeto de especial preservação, sem a licença outorgada pelo órgão ambiental competente, no polígono de coordenadas centrais 12° 22' 26" S e 64° 03' 04" W, de ID_2019AWS000002377, conforme mapa com análise temporal de imagens anexo.</t>
  </si>
  <si>
    <t>JOSIEL FERNANDES</t>
  </si>
  <si>
    <t>Linha 21-G, km 7, zona rural</t>
  </si>
  <si>
    <t>ZQBSCAPV</t>
  </si>
  <si>
    <t>Destruir 288,6843 hectares de floresta nativa no poligono 2018AWS0000042832, de coordenada centroides Lat. 11° 33' 18.64'' S / Long. 62° 30' 39.11'' W, sem autorização da autoridade competente.</t>
  </si>
  <si>
    <t>JOSE CARLOS TONINI</t>
  </si>
  <si>
    <t>linha 102</t>
  </si>
  <si>
    <t>M6YMTA4L</t>
  </si>
  <si>
    <t>Destruir 595,03 hectares de floresta nativa, objeto de especial preservação, sem autorização do órgão ambiental competente, conforme poligonal identificada como 2019AWS000015553.</t>
  </si>
  <si>
    <t>WALTER LUZ DE ARANTES</t>
  </si>
  <si>
    <t>FAZENDA VITÓRIA, ESTRADA GAUCHA DO NORTE.</t>
  </si>
  <si>
    <t>SEXQRC10</t>
  </si>
  <si>
    <t>DESTRUIR 189,35 HECTARES DE FLORESTA NATIVA, OBJETO DE ESPECIAL PRESERVAÇÃO, SEM AUTORIZAÇÃO DO ÓRGÃO AMBIENTAL COMPETENTE, CONFORME POLIGONAL IDENTIFICADA COMO 2019AWS000006499.</t>
  </si>
  <si>
    <t>LUIZ CARLOS SOARES DOS SANTOS</t>
  </si>
  <si>
    <t>ESTRADA GAUCHA DO NORTE, S/N°, ZONA RURAL</t>
  </si>
  <si>
    <t>INNDG5YW</t>
  </si>
  <si>
    <t>Destruir 7,37 hectares de floresta nativa, objeto de especial preservação, sem autorização do órgão ambiental competente, conforme poligonal identificada como 2019AWS000036621</t>
  </si>
  <si>
    <t>MARCOS AMELIO ALVES</t>
  </si>
  <si>
    <t>PA JAPURANOMANN, LOTE 419</t>
  </si>
  <si>
    <t>225, § 4° CF/88.</t>
  </si>
  <si>
    <t>9T1YC1C1</t>
  </si>
  <si>
    <t>Destruir 107,66 hectares de floresta nativa, objeto de especial preservação, sem autorização do órgão ambiental competente, conforme poligonais identificadas como ID2019AWS000015536 e ID2019AWS000003682.</t>
  </si>
  <si>
    <t>Jean Ricardo Barbosa Faria de Melo</t>
  </si>
  <si>
    <t>DK6XLBKL</t>
  </si>
  <si>
    <t>Manter em cativeiro 05 espécimes da Fauna Silvestre nativa, sem a devida autorização ambiental.</t>
  </si>
  <si>
    <t>Manoel de Freitas Sobrinho</t>
  </si>
  <si>
    <t>D4LJ5H73</t>
  </si>
  <si>
    <t>Não são passíveis de exploração para fins madeireiros a castanheira (bertholetia excelsa) e a seringueira (Hevea ssp) em florestas naturais, primitivas ou regeneradas.</t>
  </si>
  <si>
    <t>Fazenda Boa Esperança-zona rural de Nova Bandeirantes-MT.</t>
  </si>
  <si>
    <t>44 Decreto 6514; 70 1º Lei 9605; 72 Lei 9605; 3º II Decreto 6514; 3º IV Decreto 6514.</t>
  </si>
  <si>
    <t>29, caput 5975/2006.</t>
  </si>
  <si>
    <t>T95PFPJ5</t>
  </si>
  <si>
    <t>Destruir 47,3779 hectares de floresta nativa, bioma amazônico, objeto de especial preservação, sem autorização da autoridade ambiental competente, no ID 2019AWS000045480.</t>
  </si>
  <si>
    <t>Alvorada d'Oeste</t>
  </si>
  <si>
    <t>Severino Joel Gabriel</t>
  </si>
  <si>
    <t>Sítio Alvorada, Lote 34 C, Gleba 27, Gleba Bom Princípio A.</t>
  </si>
  <si>
    <t>GJF3H0XM</t>
  </si>
  <si>
    <t>DESTRUIR 22,88 HECTARES DE VEGETAÇÃO NATIVA, OBJETO DE ESPECIAL PRESERVAÇÃO (AMAZÔNIA BRASILEIRA), SEM AUTORIZAÇÃO DO ÓRGÃO AMBIENTAL COMPETENTE. 
ID. N°: 2019AWS000022459.
CONFORME CARTA IMAGEM ANEXA AO PROCESSO.</t>
  </si>
  <si>
    <t>CLEONICE APARECIDA DE JESUS</t>
  </si>
  <si>
    <t>SÍTIO TRÊS IRMÃOS LH. 29 A KM 23</t>
  </si>
  <si>
    <t>225, 4° CONSTITUIÇÃO FEDERAL.</t>
  </si>
  <si>
    <t>RVM73G60</t>
  </si>
  <si>
    <t>Desmatar 65,04 Hectares de floresta de vegetação nativa, objeto de especial preservação, sem autorização do órgão ambiental competente.
ID. N°: 2019JJF000032774.
Coordenadas do polígono conforme descritas na carta imagem anexa ao processo.</t>
  </si>
  <si>
    <t>CAMILO SANTO PENSO</t>
  </si>
  <si>
    <t>Linha 114, km 05</t>
  </si>
  <si>
    <t>AS5J6UBY</t>
  </si>
  <si>
    <t>Destruir 40,49 há de floresta secundária nativa consumada mediante uso de fogo, na região Amazônica, objeto de especial preservação, sem a licença outorgada pelo órgão ambiental competente, no polígono de coordenadas centrais 00°51'24,98"-N e 50°38'18,48"-W, de ID2019KML000017, conforme mapa com análise temporal de imagens.</t>
  </si>
  <si>
    <t>SALOMÃO ALCOLUMBRE JUNIOR</t>
  </si>
  <si>
    <t>Comunidade Santa Luzia do Pacuí, zona rural, Fazenda São Miguel, Município de Macapá-AP.</t>
  </si>
  <si>
    <t>50 Decreto 6514/2008; 60 Inc. 1 Decreto 6514/2008.</t>
  </si>
  <si>
    <t>JU5LWHUL</t>
  </si>
  <si>
    <t>Apresentar informação falsa em sistema oficial de informação e controle SISDOF, ao declarar que adquiriu 1.416,282 metros cúbicos de madeiras nativas em toras, sendo: 679,828 metros cúbicos de madeiras da espécie Dinizia excelsa_Angelin ferro; 23,15 metros cúbicos da espécie Erisma uncinatum_Cedrinho 63,373 metros cúbicos da espécie Goupia glabra_Cupiuba e 649,931 metros cúbicos da espécie Manilkara huberi_Macaranduba. Observo que no dia xxx, uma equipe do IBAMA sobrevoou a área, de onde deveria ter saído as madeiras não sendo encontrado nenhum vestígios de que foi retirada madeiras do local, não há nem mesmo estrada de acesso à área.l, ficando configurado o cometimento de infração ambiental. AUTEX xxx, Fazenda xxx.</t>
  </si>
  <si>
    <t>SUPES IBAMA BOA VISTA</t>
  </si>
  <si>
    <t>82 Decreto 6514; 70 1º Lei 9605; 72 Lei 9605; 3º II Decreto 6514; 3º VII Decreto 6514.</t>
  </si>
  <si>
    <t>9M949QXL</t>
  </si>
  <si>
    <t>Matar animais silvestres da Fauna brasileira -01 GAVIÃO Abatido Sem a devida autorização do órgão ambiental competente</t>
  </si>
  <si>
    <t>Pedro Vieira de Sousa</t>
  </si>
  <si>
    <t>Foz do Itapara</t>
  </si>
  <si>
    <t>CAS TABULEIRO II</t>
  </si>
  <si>
    <t>24 -II, 3 - III 6514/2008.</t>
  </si>
  <si>
    <t>GAHUVE03</t>
  </si>
  <si>
    <t>Apresentar informação falsa no sistema oficial de controle de produtos florestais ao possuir 252,9976 metros cúbicos de créditos no Sistema DOF e não possuir a correspondente volumetria em madeira no estoque físico no pátio da empresa, conforme constatado na vistoria realizada no dia xxx.</t>
  </si>
  <si>
    <t>MADEIREIRA EME LTDA</t>
  </si>
  <si>
    <t>Superintendência do IBAMA em Roraima</t>
  </si>
  <si>
    <t>I2ZQMOLK</t>
  </si>
  <si>
    <t>Destruir 146,537 hectares de floresta nativa no poligono AWS2018000007972A sem autorização da autoridade competente.</t>
  </si>
  <si>
    <t>Gilberto Vicente da Silva</t>
  </si>
  <si>
    <t>na fazenda de sede coordenadas 12° 02' 13'' S / 63° 02' 22'' W.</t>
  </si>
  <si>
    <t>OH0T3T4D</t>
  </si>
  <si>
    <t>Destruir 151, 310 Hectares de Floresta Nativa na  região amazônica, objeto de especial preservação, sem a licença outorgada pelo órgão ambiental competente.
Conforme demonstrado no mapa no ID 2018AWS00000797-C</t>
  </si>
  <si>
    <t>JOSE LUIZ VICENTE DA SILVA</t>
  </si>
  <si>
    <t>Na Fazenda de sede nas coordenadas 12 ° 02' 13" S e 63° 02' 22" W</t>
  </si>
  <si>
    <t>10XCML6R</t>
  </si>
  <si>
    <t>Manter em cativeiro um especime da Fauna Silvestre nativa (papagaio verdadeiro), cuja espécie esta listado no anexo II da CITES, sem a devida autorização ambiental.</t>
  </si>
  <si>
    <t>Frecheirinha</t>
  </si>
  <si>
    <t>Vicente Ximes de Aguiar</t>
  </si>
  <si>
    <t>70 §1º Lei 9605/98; 3º II-IV 24 §3° II, III Decreto 6514/2008.</t>
  </si>
  <si>
    <t>5PL3GA0Y</t>
  </si>
  <si>
    <t>Apresentar informação falsa em sistema oficial de informação e controle SISDOF, ao declarar que adquiriu 157,473 metros cúbicos de madeiras nativas em toras da espécie Dinizia excelsa_Angelin ferro. Observo que no dia xxx, uma equipe do IBAMA sobrevoou a área, de onde deveria ter saído as madeiras não sendo encontrado nenhum vestígios de que foi retirada madeiras do local, não há nem mesmo estrada de acesso à área.l, ficando configurado o cometimento de infração ambiental. AUTEX xxx, Fazenda xxx.</t>
  </si>
  <si>
    <t>G G T DE OLIVEIRA EIRELI</t>
  </si>
  <si>
    <t>SUPES IBAMA_RR</t>
  </si>
  <si>
    <t>IVEJ6UM4</t>
  </si>
  <si>
    <t>Ter em depósito 38,4057 metros cúbicos de madeira em toras sendo: 3,7093 metros cúbicos de Goupia glabra _Cupiúba, 19,9844 metros cúbicos de Vataireopsis speciosa_Angelim amargoso e 14,712 metros cúbicos de Manilkara huberi_Maçaranduba; e 208,2928 metros cúbicos de madeira serrada, sendo; 0,683 metros cúbicos de Quadrado de Manilkara huberi_ Maçaranduba, 0,1802 metros cúbicos de vigota de Dinizia excelsa_Angelim ferro, 4,5900 metros cúbicos de tábua de Erisma uncinatum_caferana, 4,9966 metros cúbicos de sarrafo de Manilkara huberi_Maçaranduba, 7,954 metros cúbicos de sarrafo de Erisma uncinatum_caferana, 58,724 metros cúbicos de madeira serrada de Goupia glabra_cupiúba, 7,291 metros cúbicos de madeira serrada de Vataireopsis speciosa_Angelim amargoso, 0,744 de tábua de Simarouba amara_ Marupá e 123,13 metros cúbicos de madeira serrada de Qualea spp_cambará, sem licença válida do órgão ambiental competente.</t>
  </si>
  <si>
    <t>Mucajaí</t>
  </si>
  <si>
    <t>MADEIREIRA EME LTDA - EPP
AV. Deusdete Soares Medrada, 999 - Bairro Sagrada Família</t>
  </si>
  <si>
    <t>YHQ4KS8T</t>
  </si>
  <si>
    <t>Apresentar informação falsa em sistema oficial de informação e controle SISDOF, ao declarar que adquiriu 227,078 metros cúbicos de madeiras nativas em toras da espécie Dinizia excelsa_Angelin ferro. Observo que no dia xxx, uma equipe do IBAMA sobrevoou a área, de onde deveria ter saído as madeiras não sendo encontrado nenhum vestígios de que foi retirada madeiras do local, não há nem mesmo estrada de acesso à área.l, ficando configurado o cometimento de infração ambiental. AUTEX xxx, Fazenda xxx.</t>
  </si>
  <si>
    <t>INDUSTRIA E COMERCIO DE MADEIRAS PROGRESSO LTDA-ME</t>
  </si>
  <si>
    <t>SUPES IBAMA Boa Vista RR</t>
  </si>
  <si>
    <t>FE04BA9M</t>
  </si>
  <si>
    <t>ter em cativeiro onze especimes da fauna silvestre nativa, sem a devida autorizacao ambiental.</t>
  </si>
  <si>
    <t>valdir cardoso de jesus</t>
  </si>
  <si>
    <t>Rua 5, goiabeira</t>
  </si>
  <si>
    <t>CAS MIGRATORIUS I</t>
  </si>
  <si>
    <t>24 3º I Decreto 6514; 24 3º III Decreto 6514; 70 1º Lei 9605; 72 Lei 9605; 3º II Decreto 6514; 3º IV Decreto 6514.</t>
  </si>
  <si>
    <t>YV6SWAHX</t>
  </si>
  <si>
    <t>DEIXAR DE APRESENTAR RAPP 2019/2018 LEI 10165 E LEI 6938/1982</t>
  </si>
  <si>
    <t>PAI TEREZA COMERCIAL LTDA</t>
  </si>
  <si>
    <t>Cê 040 km 93 lagoa da Juana, sucatinga- ce</t>
  </si>
  <si>
    <t>GJRDJ11T</t>
  </si>
  <si>
    <t>Destruir 134,173 hectares de floresta nativa na região amazônica, objeto de especial preservação, sem a licença outorgada pelo órgão ambiental competente.
Conforme demonstrado no mapa com o ID 2018AWS000007972-B</t>
  </si>
  <si>
    <t>Edson Souza do Nascimento</t>
  </si>
  <si>
    <t>Sede da Fazenda nas coordenadas 12 02' 13" S e 63 02' 22" W Zona rural de São Miguel do Guaporé</t>
  </si>
  <si>
    <t>UMU362DM</t>
  </si>
  <si>
    <t>Deixar de comunicar de imediato o resultado da análise química que apontou resultado de TOG superior ao limite legal pela Plataforma FPSO Polvo, que apresentou TOG de 47,1 mg/l na amostra de 31/12/2018. O resultado do exame laboratorial só foi encaminhado ao IBAMA em 30/01/2019 apos a realização da contraprova, que apresentou resultado abaixo do limite permitido.</t>
  </si>
  <si>
    <t>PETRO RIO O&amp;G EXPLORAÇÃO E PRODUÇÃO DE PETRÓLEO LTDA</t>
  </si>
  <si>
    <t>Quinto, Paragrafo Terceiro Resolução CONAMA 393/2007.</t>
  </si>
  <si>
    <t>91IZ0JDZ</t>
  </si>
  <si>
    <t>Ter em depósito produto tóxico, nocivo à saúde humana e ao meio ambiente, em desacordo com as exigências estabelecidas em lei ou regulamentos: 1 embalagem de 10g de SULFURON 60WG, agrotóxico de origem estrangeira sem o devido registro no Brasil. Infração constatada em xxx.</t>
  </si>
  <si>
    <t>Jorge Alexandro Ongaratti</t>
  </si>
  <si>
    <t>Propriedade Rural. Assentamento Paraíso II, Sant'ana do Livramento</t>
  </si>
  <si>
    <t>Art. 3, Caput Lei n° 7802/1989; 334-A, IV Decreto Lei n° 2848/1950.</t>
  </si>
  <si>
    <t>46YVNYH1</t>
  </si>
  <si>
    <t>Por impedir a regeneração natural em 300 m2 de área de preservação permanente do reservatório da UHE Batalha com a construção de um quiosque e caixa de areia.</t>
  </si>
  <si>
    <t>Paracatu</t>
  </si>
  <si>
    <t>Associação dos Moradores e Proprietários de Lotes do Balneário Porto Belo</t>
  </si>
  <si>
    <t>Balneário Porto Belo</t>
  </si>
  <si>
    <t>48 1º Decreto 6514; 70 1º Lei 9605; 72 Lei 9605; 3º II Decreto 6514; 3º VII Decreto 6514.</t>
  </si>
  <si>
    <t>32UPIH2G</t>
  </si>
  <si>
    <t>Destruir 65.512 Hectares de floresta nativa nos polígons ( 2018aws000042832 /  2018aws000036506), sem autorização da autoridade competente</t>
  </si>
  <si>
    <t>Gean Paulo Larson Yamamoto</t>
  </si>
  <si>
    <t>linha 102, São Miguel. do. Guaporé</t>
  </si>
  <si>
    <t>5JNZRS5L</t>
  </si>
  <si>
    <t>Destruir 9,4 hectares de floresta nativa, objeto de especial preservação (bioma Mata Atlântica), sem autorização da autoridade ambiental competente. (Coordenadas 11°14'24"S e 37°36'30"W).</t>
  </si>
  <si>
    <t>Arauá</t>
  </si>
  <si>
    <t>RINALDO DE ANDRADE AVILA</t>
  </si>
  <si>
    <t>Zona Rural de Arauá/SE.</t>
  </si>
  <si>
    <t>W5HHE2SB</t>
  </si>
  <si>
    <t>explorar 4,14 hectares de vegetacao nativa, sem aprovacao previa do orgão ambiental competente</t>
  </si>
  <si>
    <t>abdias lima damasceno</t>
  </si>
  <si>
    <t>sitio pe do morro</t>
  </si>
  <si>
    <t>53 Decreto 6514; 70 1º Lei 9605; 72 Lei 9605; 3º II Decreto 6514; 3º VII Decreto 6514.</t>
  </si>
  <si>
    <t>WDY2X2LN</t>
  </si>
  <si>
    <t>Efetuar a Plataforma de Garoupa (PGP-1), no mes de  maio de 2018, o descarte de água produzida em desacordo com a regulamentação específica. Teor de Oleos e Graxas - TOG mensal de 460 mg/l, superior ao valor máximo mensal de 29 mg/l estabelecido pela Resolução CONAMA 393/2007.</t>
  </si>
  <si>
    <t>ABEJSKA4</t>
  </si>
  <si>
    <t>Desmatar a corte raso, uma superficier de 1,28 hectares de vegetação nativa, sem a devida autorização ambiental, a infração consumuda com uso de fogo.</t>
  </si>
  <si>
    <t>Fazer uso de fogo em áreas agropastoris sem autorização do órgão competente ou em desacordo com a obtida.</t>
  </si>
  <si>
    <t>Abdias Lima Damasceno</t>
  </si>
  <si>
    <t>70 §1º 72 Lei 9605/98; 3º II, VII 52 Decreto 6514/2008; 60 I Decreto 6514/2008.</t>
  </si>
  <si>
    <t>60, I 6514/08.</t>
  </si>
  <si>
    <t>DFGAYPWR</t>
  </si>
  <si>
    <t>Descumprir o embargo da área, objeto do Termo de Embargo n° 511850 C, lavrado em 11/05/2013, processo IBAMA n° 02502.000054/2013-72.</t>
  </si>
  <si>
    <t>Jaco Francisco do Carmo</t>
  </si>
  <si>
    <t>Sítio Nova Vida, Linha G, Gleba 21, lotes 1 e 3, zona rural.</t>
  </si>
  <si>
    <t>YTY9FYI4</t>
  </si>
  <si>
    <t>Descumprir o embargo de atividades estabelecido pelo TEI n° 613778/C, processo 02502.000096/2013-11.</t>
  </si>
  <si>
    <t>MESSIAS FLAVIO DA SILVA</t>
  </si>
  <si>
    <t>Linha 23, lote 23, gleba Conceição, zona rural</t>
  </si>
  <si>
    <t>M1YJSU19</t>
  </si>
  <si>
    <t>Efetuar a Plataforma de Garoupa (PGP-1), no dia 02 de aetembro de 2019, o descarte de água produzida em desacordo com a regulamentação específica. Teor de Oleos e Graxas - TOG de 50 mg/l, superior ao valor máximo de 42 mg/l estabelecido pela Resolução CONAMA 393/2007.</t>
  </si>
  <si>
    <t>38,  caput Decreto 4.136/2002.</t>
  </si>
  <si>
    <t>261O3BWG</t>
  </si>
  <si>
    <t>Efetuar a Plataforma de Garoupa (PGP-1), no dia 25 de maio de 2018, o descarte de água produzida em desacordo com a regulamentação específica. Teor de Oleos e Graxas - TOG de 54 mg/l, superior ao valor máximo de 42 mg/l estabelecido pela Resolução CONAMA 393/2007.</t>
  </si>
  <si>
    <t>9ZWUICB8</t>
  </si>
  <si>
    <t>Efetuar a Plataforma de Garoupa (PGP-1), no dia 11 de maio de 2018, o descarte de água produzida em desacordo com a regulamentação específica. Teor de Oleos e Graxas - TOG de 4994 mg/l, superior ao valor máximo de 42 mg/l estabelecido pela Resolução CONAMA 393/2007.</t>
  </si>
  <si>
    <t>ZN9OVHVA</t>
  </si>
  <si>
    <t>Efetuar a Plataforma de Garoupa (PGP-1), no dia 12 de maio de 2018, o descarte de água produzida em desacordo com a regulamentação específica. Teor de Oleos e Graxas - TOG de 342 mg/l, superior ao valor máximo de 42 mg/l estabelecido pela Resolução CONAMA 393/2007.</t>
  </si>
  <si>
    <t>OLDSTWRG</t>
  </si>
  <si>
    <t>Efetuar a Plataforma de Pargo, no dia 24 de janeiro de 2019, o descarte de água produzida em desacordo com a regulamentação específica. Teor de Oleos e Graxas - TOG de 46 mg/l, superior ao valor máximo de 42 mg/l estabelecido pela Resolução CONAMA 393/2007.</t>
  </si>
  <si>
    <t>39OU2VHG</t>
  </si>
  <si>
    <t>Efetuar a Plataforma de Pargo, no dia 02 de fevereiro de 2019, o descarte de água produzida em desacordo com a regulamentação específica. Teor de Oleos e Graxas - TOG de 46 mg/l, superior ao valor máximo de 42 mg/l estabelecido pela Resolução CONAMA 393/2007.</t>
  </si>
  <si>
    <t>1HOS5JLW</t>
  </si>
  <si>
    <t>Descumprir o embargo de atividades estabelecido pelo TEI n° 564632/C, processo 02502.001039/2008-84.</t>
  </si>
  <si>
    <t>João Francisco do Carmo</t>
  </si>
  <si>
    <t>Fazenda Flor do Vale, Linha G, km 20, gleba 22</t>
  </si>
  <si>
    <t>981KBQ8A</t>
  </si>
  <si>
    <t>Manter em cativeiro 08 espécimes da Fauna Silvestre Brasileira nativa, sendo dois pertencentes a espécies listada no CITES, sem a devida autorização ambiental.</t>
  </si>
  <si>
    <t>Manoel Cardoso Neto</t>
  </si>
  <si>
    <t>18DIWQ8E</t>
  </si>
  <si>
    <t>L81QMQM1</t>
  </si>
  <si>
    <t>Deixar de atender a condicionante específica 2.8 da LO 1467/2018</t>
  </si>
  <si>
    <t>TOTAL E&amp;P DO BRASIL LTDA</t>
  </si>
  <si>
    <t>66, parágrafo único - inciso II Decreto 6514/2008.</t>
  </si>
  <si>
    <t>LC4F4RC2</t>
  </si>
  <si>
    <t>Descumprir obrigação prevista no sistema de logística reversa implantado nos termos da Lei n 12.305, de 2010, consoante as responsabilidades específicas estabelecidas para o referido sistema: deixar de destinar OLUC referente a meta/ano de 2018.</t>
  </si>
  <si>
    <t>Porto Alegre</t>
  </si>
  <si>
    <t>PLANITRADE ASSESSORIA COMERCIO REPRESENTAÇÕES LTDA</t>
  </si>
  <si>
    <t>62, XII DECRETO 6514/2008; 33, IV Lei 12.305/2010.</t>
  </si>
  <si>
    <t>Y5LKAX0Z</t>
  </si>
  <si>
    <t>Efetuar a plataforma Petrobras 57 (FPSO P 57), no dia 12 de outubro de 2018, o descarte de água produzida em desacordo com a regulamentação específica. Teor de Oleos e Graxas - TOG de 48 mg/l, superior ao valor máximo de 42 mg/l estabelecido pela Resolução CONAMA 393/2007.</t>
  </si>
  <si>
    <t>Campo de Jubarte</t>
  </si>
  <si>
    <t>3WKPJ9X2</t>
  </si>
  <si>
    <t>PEFIL COMERCIAL LTDA</t>
  </si>
  <si>
    <t>QVECKNZS</t>
  </si>
  <si>
    <t>Destruir a corte raso, consumado pelo uso do fogo, 287,41 hectares de floresta nativa do Bioma Amazônico, Objeto de Especial Preservação, sem licença outorgada pela autoridade ambiental competente, nos polígonos de coordenadas centrais; 
08°36'06,2"S 66°58'59,6"W, ID2019AWS000010244 com 108,90 hectares;
08°36'45,3"S 66°59'23,3"W, ID2019AWS000010692 com 73,35 hectares;
08°35'53,4"S 66°58'02,7"W, ID2019AWS000046381 com 32,24 hectares;
08°37'13,0"S 66°59'38,9"W, Embargo desconhecido Termo n° 793597-E, com 72,92 hectares, conforme mapa de análise temporal de imagem anexo ao processo.</t>
  </si>
  <si>
    <t>REGINALDO RESENDE DA SILVA</t>
  </si>
  <si>
    <t>Sem denominação, coordenadas geográficas de referência em carta imagem.</t>
  </si>
  <si>
    <t>A54BWMCS</t>
  </si>
  <si>
    <t>Efetuar a Plataforma de Garoupa (PGP-1), no dia 26 de abril de 2018, o descarte de água produzida em desacordo com a regulamentação específica. Teor de Oleos e Graxas - TOG de 45 mg/l, superior ao valor máximo de 42 mg/l estabelecido pela Resolução CONAMA 393/2007.</t>
  </si>
  <si>
    <t>0U3EHUGY</t>
  </si>
  <si>
    <t>Anápolis</t>
  </si>
  <si>
    <t>PEAK AUTOMOTIVA LTDA</t>
  </si>
  <si>
    <t>62, XII DECRETO 6.514/2008; 33, IV Lei 12.305/2010.</t>
  </si>
  <si>
    <t>CVH81WLN</t>
  </si>
  <si>
    <t>PDV BRASIL COMBUSTÍVEIS E LUBRIFICANTES LTDA</t>
  </si>
  <si>
    <t>ZN4GW4VO</t>
  </si>
  <si>
    <t>OMEGA SUPER TROCA COMERCIO DE LUBRIFICANTES LTDA</t>
  </si>
  <si>
    <t>1AX2R32D</t>
  </si>
  <si>
    <t>MS COMERCIO DE LUBRIFICANTE LTDA</t>
  </si>
  <si>
    <t>62, XII Decreto 6514/2008; 33, IV Lei 12.305/2010.</t>
  </si>
  <si>
    <t>FEO72BBL</t>
  </si>
  <si>
    <t>MEDCLEAN COMERCIAL LTDA</t>
  </si>
  <si>
    <t>ZZM64AB4</t>
  </si>
  <si>
    <t>Itu</t>
  </si>
  <si>
    <t>MARCIO BENEDITO VECCHI EIRELI - EPP</t>
  </si>
  <si>
    <t>TUSJE1LR</t>
  </si>
  <si>
    <t>Metalube Brasil Comércio de Lubrificantes Ltda.</t>
  </si>
  <si>
    <t>WV0RZ86Z</t>
  </si>
  <si>
    <t>Transportar 13 St de lenha de floresta nativa ( bioma caatinga) sem licença valida para todo tempo de viagem, outorgada pela autoridade ambiental competente..</t>
  </si>
  <si>
    <t>Riachão do Dantas</t>
  </si>
  <si>
    <t>José Zenildo Fontes</t>
  </si>
  <si>
    <t>Povoado Palmares</t>
  </si>
  <si>
    <t>47 § 3 Decreto 6514/2008.</t>
  </si>
  <si>
    <t>P4TEAUGM</t>
  </si>
  <si>
    <t>Destruir 9,4 hectares de floresta nativa, objetivo de especial preservação (bioma mata atlântica), sem autorização da autoridade ambiental competente ( Coordenada 11°14'24"S e 37°36'30"W).</t>
  </si>
  <si>
    <t>Rinaldo Andrade Avila</t>
  </si>
  <si>
    <t>Fazenda Tapioca</t>
  </si>
  <si>
    <t>61 Decreto 6514; 70 1º Lei 9605; 72 Lei 9605; 3º II Decreto 6514; 3º VII Decreto 6514.</t>
  </si>
  <si>
    <t>33B2RFEE</t>
  </si>
  <si>
    <t>Desmatar 17 ,0 hectares de floresta de vegetação nativa, objeto de especial preservação (Amazônia Brasileira), sem autorização do órgão ambiental competente.
Conforme carta imagem anexa ao processo.
ID. n°: 2019AWS000022459.</t>
  </si>
  <si>
    <t>Silvestre Alexandre Gorczak</t>
  </si>
  <si>
    <t>Linha 29, km 21 , lote 35 travessão Paranaense.</t>
  </si>
  <si>
    <t>0RNQ81HC</t>
  </si>
  <si>
    <t>OBSTAR A AÇÃO DO PODER PÚBLICO NO EXERCÍCIO DE ATIVIDADE DE FISCALIZAÇÃO AMBIENTAL, POR ESTÁ COM O EQUIPAMENTO DE RASTREAMENTO PREPS DESLIGADO NO PORTO DE PARAJURU, EMBARCAÇÃO DENOMINADA SALVADOR BAHIA, INSCRIÇÃO CAPITANIA 162.001.780-6, RGP 0002416-6, CONFORME ESTABELECIDO NO ART. 2º, DA INSTRUÇÃO NORMATIVA INTERMINISTERIAL MPA Nº 06/2018.</t>
  </si>
  <si>
    <t>GILMAR CARNEIRO DA SILVA</t>
  </si>
  <si>
    <t>PORTO DE PARAJURU, BEBERIBE, CE</t>
  </si>
  <si>
    <t>PANULIRUS II</t>
  </si>
  <si>
    <t>3º, 77, II DECRETO FEDERAL Nº 6.514/08.</t>
  </si>
  <si>
    <t>AUR0A1MR</t>
  </si>
  <si>
    <t>Ter em cativeiro dois espécimes da Fauna Silvestre nativa (graúnas) não pertencentes a espécie ameaçada de extinção, sem a devida autorização ambiental.</t>
  </si>
  <si>
    <t>Luiz Gonzaga do Monte Ribeiro</t>
  </si>
  <si>
    <t>70 §1º 72 Lei 9605/98; 3º II-IV 24 §3°I,II,III Decreto 6514/2008; 24 §3º I, III Decreto 6514/2008.</t>
  </si>
  <si>
    <t>B6QW6T81</t>
  </si>
  <si>
    <t>Descumprir o embargo da área objeto do termo de Embargo n° 650752-C, lavrado em 21/06/2013, processo IBAMA 02502.000106/2013-19.</t>
  </si>
  <si>
    <t>ODAIR JOSE DE SOUZA</t>
  </si>
  <si>
    <t>Sítio Nova Esperança, lote 32 Gleba 23 Terra Firme, Setor São Domingos, município Costa Marques.</t>
  </si>
  <si>
    <t>WIV8P3IE</t>
  </si>
  <si>
    <t>Descumprir embargo de atividades estabelecido pelo TE n° 618917/C, processo 02024.001270/2012-37.</t>
  </si>
  <si>
    <t>MARCIO JOSÉ DE FREITAS</t>
  </si>
  <si>
    <t>Linha 21, km 02</t>
  </si>
  <si>
    <t>38PT30YZ</t>
  </si>
  <si>
    <t>Ter em cativeiro espécime da Fauna Silvestres nativa, pertencente a espécie listada em anexo II da CITES (periquito da caatinga), sem devidav licença ambiental.</t>
  </si>
  <si>
    <t>Jose Maria Ribeiro de Sousa</t>
  </si>
  <si>
    <t>no Sitio Cajuzeiro</t>
  </si>
  <si>
    <t>N7MB4EEI</t>
  </si>
  <si>
    <t>Efetuar a Plataforma de Namorado-2 (PNA-2), no dia 28 de abril de 2018, o descarte de água produzida em desacordo com a regulamentação específica. Teor de Oleos e Graxas - TOG de 58 mg/l, superior ao valor máximo de 42 mg/l estabelecido pela Resolução CONAMA 393/2007.</t>
  </si>
  <si>
    <t>X77XKOOY</t>
  </si>
  <si>
    <t>Efetuar a Plataforma de Namorado-2 (PNA-2), no dia 08 de março de 2018, o descarte de água produzida em desacordo com a regulamentação específica. Teor de Oleos e Graxas - TOG de 117 mg/l, superior ao valor máximo de 42 mg/l estabelecido pela Resolução CONAMA 393/2007.</t>
  </si>
  <si>
    <t>W7BVA5LO</t>
  </si>
  <si>
    <t>Descumprir Embargo referente ao TEI  613774-C constante no processo 02502000045/2013-81 referente ao AI 702120.</t>
  </si>
  <si>
    <t>IZAIAS GOMES ROBERTO</t>
  </si>
  <si>
    <t>Lh 21 - Travessão L - Gl.21</t>
  </si>
  <si>
    <t>VQ0DJB3V</t>
  </si>
  <si>
    <t>DESTRUIR 17,93 HECTARES DE FLORESTA NATIVA, OBJETO DE ESPECIAL PRESERVAÇÃO, SEM AUTORIZAÇÃO PRÉVIA DA AUTORIDADE AMBIENTAL CONFORME CARTA IMAGEM ANEXA.I D2019AWS000022459.</t>
  </si>
  <si>
    <t>SIDMAR CHAGAS GORCZAK</t>
  </si>
  <si>
    <t>Travessão Paranaense Sítio Palmeiras LOTES 35 GLEBA TERRA FIRME SETOR SERRA DOS REIS</t>
  </si>
  <si>
    <t>225, 4° Constituição federal de 1988..</t>
  </si>
  <si>
    <t>VQKDJ7LU</t>
  </si>
  <si>
    <t>Descumprir embargo de atividades estabelecido pelo TE n° 511848/C, processo n° 02502.000047/2013-71, no polígono de coordenadas centrais 12°24'05" W; 64°06'44,57" W.</t>
  </si>
  <si>
    <t>Marcia do Socorro Gomes Ribeiro</t>
  </si>
  <si>
    <t>Sítio Estância Ribeiro. Gleba 20, lote 08, linha E</t>
  </si>
  <si>
    <t>1WRDYP8I</t>
  </si>
  <si>
    <t>Efetuar a plataforma Petrobras de Pargo 1 (PPG-1), no dia 03 de dezembro de 2018, o descarte de água produzida em desacordo com a regulamentação específica. Teor de Oleos e Graxas - TOG de 43 mg/l, superior ao valor máximo de 42 mg/l estabelecido pela Resolução CONAMA 393/2007.</t>
  </si>
  <si>
    <t>0G6THWVW</t>
  </si>
  <si>
    <t>Efetuar a plataforma Petrobras 52 (P-52), no dia 16 de dezembro de 2017, o descarte de água produzida em desacordo com a regulamentação específica. Teor de Oleos e Graxas - TOG de 166 mg/l, superior ao valor máximo de 42 mg/l estabelecido pela Resolução CONAMA 393/2007.</t>
  </si>
  <si>
    <t>Campo de Roncador</t>
  </si>
  <si>
    <t>2EJHNT9X</t>
  </si>
  <si>
    <t>Descumprir embargo de atividade estabelecido pelo TE n° 618961/C, processo n° 02502.000044/2013-37</t>
  </si>
  <si>
    <t>VANDIR ROSA DO NASCIMENTO</t>
  </si>
  <si>
    <t>Lh 21, Km 10, LT 40. Sítio Oliveira</t>
  </si>
  <si>
    <t>Z4KX0QKD</t>
  </si>
  <si>
    <t>Guardar 05 carcaras de animais da Fauna Silvestre nativa, sem a devida autorização ambiental, referente a 03 pacas e 02 codornizes.</t>
  </si>
  <si>
    <t>XU1IFPBQ</t>
  </si>
  <si>
    <t>Descumprir embargo na área objeto do termo de Embargo n° 655903 E, lavrado em 18/12/2014, processo IBAMA 02502.000021/2015-94.</t>
  </si>
  <si>
    <t>OSMAR DE OLIVEIRA</t>
  </si>
  <si>
    <t>Linha C 20, Setor Macaco Preto, zona rural, Costa Marques-RO</t>
  </si>
  <si>
    <t>LRQ9IRU8</t>
  </si>
  <si>
    <t>Descumprir embargo de atividade estabelecido pelo TE n° 618960/C, processo n° 02502.000046/2013-26, no polígono de coordenadas centrais 12°24'38"S e 54°02'27,7"W</t>
  </si>
  <si>
    <t>DIMAS DE CARVALHO</t>
  </si>
  <si>
    <t>Sítio Ferradura. Setor São Domingos Linha 04, km 26</t>
  </si>
  <si>
    <t>0LU4VY45</t>
  </si>
  <si>
    <t>Transportar 2.120 kg de pescado gelado:  sendo pescada branca 150 kg, Filhote 1.610 kg, Pintado 160 kg e Dourada 200 kg, sem Comprovante de origem do órgão competente.</t>
  </si>
  <si>
    <t>Laranjal do Jari</t>
  </si>
  <si>
    <t>EMPRESA DE NAVEGAÇÃO LUAN LTDA</t>
  </si>
  <si>
    <t>Rio Amazonas Foz do Rio Jari.</t>
  </si>
  <si>
    <t>DEF MAREADOS III</t>
  </si>
  <si>
    <t>PU91TJW9</t>
  </si>
  <si>
    <t>Descumprir o embargo da área, objeto do termo de Embargo n° 650759 lavrado em 16/05/2013, processo IBAMA 02049.000012/2013-36.</t>
  </si>
  <si>
    <t>JAIRTON CANELO</t>
  </si>
  <si>
    <t>Linha Santa Isabel, zona rural, setor Macaco Preto</t>
  </si>
  <si>
    <t>PKLTVJ23</t>
  </si>
  <si>
    <t>Desmatar, 99,77 Hectares de floresta de vegetação nativa objeto de especial preservação (Amazônia Brasileira), sem autorização do órgão ambiental competente.
Conforme carta imagem anexa ao processo.
ID. N°: 2019AWS000022459.</t>
  </si>
  <si>
    <t>AIRTON JOSE GORCZAK</t>
  </si>
  <si>
    <t>Linha 29, km 22</t>
  </si>
  <si>
    <t>TUMMJ0YN</t>
  </si>
  <si>
    <t>Descumprir embargo de atividade estabelecido pelo TE n° 6557069/C, processo n° 02502.00085/2013-23.</t>
  </si>
  <si>
    <t>JOÃO BATISTA DE MORAIS</t>
  </si>
  <si>
    <t>Lh 23, LT 19, GL 23, Costa Marques</t>
  </si>
  <si>
    <t>4SIKWWQI</t>
  </si>
  <si>
    <t>São Carlos</t>
  </si>
  <si>
    <t>LUMA OIL INDUSTRIA E COMERCIO LTDA</t>
  </si>
  <si>
    <t>QTYCF5FD</t>
  </si>
  <si>
    <t>Lençóis Paulista</t>
  </si>
  <si>
    <t>LWART LUBRIFICANTES LTDA</t>
  </si>
  <si>
    <t>ZHX1W537</t>
  </si>
  <si>
    <t>Deixar de atender as condicionantes 2.4, 2.5, 2.7 da Autorização Especial 02/2014 .</t>
  </si>
  <si>
    <t>CESP - COMPANHIA ENERGÉTICA DE SÃO PAULO S.A.</t>
  </si>
  <si>
    <t>66, parágrafo único/inciso II Decreto 6514/08.</t>
  </si>
  <si>
    <t>U9V3E23T</t>
  </si>
  <si>
    <t>CASTILHO COMERCIO DE PRODUTOS QUIMICOS LTDA</t>
  </si>
  <si>
    <t>CASTILHO COMÉRCIO DE PRODUTOS QUÍMICOS LTDA</t>
  </si>
  <si>
    <t>GC4Y0Y3W</t>
  </si>
  <si>
    <t>Efetuar a plataforma de Merluza (PMLZ), no dia 13 de março de 2018, o descarte de água produzida em desacordo com a regulamentação específica. Teor de Oleos e Graxas - TOG de 76,4 mg/l, superior ao valor máximo de 42 mg/l estabelecido pela Resolução CONAMA 393/2007.</t>
  </si>
  <si>
    <t>Cananéia</t>
  </si>
  <si>
    <t>Campo de Merluza/Lagosta</t>
  </si>
  <si>
    <t>WXKHUHTV</t>
  </si>
  <si>
    <t>Destruir, mediante uso de fogo, 252,12 hectares de floresta nativa no Bioma Amazônico, objeto de especial preservação, sem a licença outorgada pelo órgão ambiental competente, no polígono de coordenadas centrais 08° 30' 52,658" S e 067° 08' 42,072" W, de ID_DES2019AWS000008602, conforme mapa com análise temporal de imagens anexo ao Processo.</t>
  </si>
  <si>
    <t>Redivaldo Maurício de Oliveira</t>
  </si>
  <si>
    <t>Ramal Bom Lugar - Zona Rural - Boca do Acre - AM</t>
  </si>
  <si>
    <t>3XTBAGQL</t>
  </si>
  <si>
    <t>Destruir, mediante uso do fogo ou provocação de incêndio, 181,29ha de floresta nativa no Bioma Amazônico, objeto de especial preservação, sem a licença outorgada pelo órgão ambiental competente, no polígono de coordenadas centrais 66° 59' 44,856" de longitude oeste e 8° 32' 12,727" de latitude sul, de ID_DES 2019AWS000006294, conforme mapa com análise temporal de imagens anexas ao processo.</t>
  </si>
  <si>
    <t>Reginaldo Santos da Silva</t>
  </si>
  <si>
    <t>Colônia Água Nova - BR. 317, Km 38. Boca do Acre/AM.  69850-000</t>
  </si>
  <si>
    <t>75VFHGW9</t>
  </si>
  <si>
    <t>Efetuar a plataforma Petrobras 26 (P-26), no dia 10 de outubro de 2017, o descarte de água produzida em desacordo com a regulamentação específica. Teor de Oleos e Graxas - TOG de 43 mg/l, superior ao valor máximo de 42 mg/l estabelecido pela Resolução CONAMA 393/2007.</t>
  </si>
  <si>
    <t>GHTQS5MI</t>
  </si>
  <si>
    <t>Belford Roxo</t>
  </si>
  <si>
    <t>Lubrizol do Brasil Aditivos Ltda.</t>
  </si>
  <si>
    <t>1E9W2V1Z</t>
  </si>
  <si>
    <t>CADIUM COMERCIO IMPORTACAO E EXPORTACAO LTDA</t>
  </si>
  <si>
    <t>CADIUM COMÉRCIO IMPORTAÇÃO E EXPORTAÇÃO LTDA</t>
  </si>
  <si>
    <t>RRDVXAZ3</t>
  </si>
  <si>
    <t>Efetuar a plataforma Petrobras de Namorado-1 (PNA-1), no dia 28 de março de 2018, o descarte de água produzida em desacordo com a regulamentação específica. Teor de Oleos e Graxas - TOG de 195 mg/l, superior ao valor máximo de 42 mg/l estabelecido pela Resolução CONAMA 393/2007.</t>
  </si>
  <si>
    <t>Campo de Congro/Namorado</t>
  </si>
  <si>
    <t>J1K6S0QQ</t>
  </si>
  <si>
    <t>CLARIANT S.A.</t>
  </si>
  <si>
    <t>R8GRJVI9</t>
  </si>
  <si>
    <t>LEYBOLD DO BRASIL LTDA</t>
  </si>
  <si>
    <t>95VA47VD</t>
  </si>
  <si>
    <t>Efetuar a plataforma Petrobras 37 (P 37), no dia 23 de fevereiro de 2018, o descarte de água produzida em desacordo com a regulamentação específica. Teor de Oleos e Graxas - TOG de 63 mg/l, superior ao valor máximo de 42 mg/l estabelecido pela Resolução CONAMA 393/2007.</t>
  </si>
  <si>
    <t>7TIDQRNY</t>
  </si>
  <si>
    <t>LEIDINGER REPRESENTACOES E SERVICOS LTDA - EPP</t>
  </si>
  <si>
    <t>PBB817KB</t>
  </si>
  <si>
    <t>Portar e usar motosserra,sem licença ou autorização da autoridade ambiental competente.</t>
  </si>
  <si>
    <t>Cáceres</t>
  </si>
  <si>
    <t>Edson de Jesus Neves</t>
  </si>
  <si>
    <t>Sítio São Salvador, Bairro Garcês, rua Radial 01,cep 78200-000, Cáceres MT.</t>
  </si>
  <si>
    <t>57 Decreto 6514; 70 1º Lei 9605; 72 Lei 9605; 3º II Decreto 6514; 3º IV Decreto 6514.</t>
  </si>
  <si>
    <t>N8MMWK70</t>
  </si>
  <si>
    <t>Descumprir o embargo de atividades estabelecido pelo TEI n° 655811/C, processo 02502.000035/2013-46.</t>
  </si>
  <si>
    <t>FRANCISCO BEZERRA VELOSO</t>
  </si>
  <si>
    <t>Linha 21 (BR 429, km 02), km 19,5, lotes 16 e 17, Setor São Domingos, zona rural</t>
  </si>
  <si>
    <t>ASQXIZDL</t>
  </si>
  <si>
    <t>Descumprir o embargo de atividades estabelecido pelo TEI n° 614226/C, processo 02502.000042/2013-48.</t>
  </si>
  <si>
    <t>ADELCON MERCADO MIRANDA</t>
  </si>
  <si>
    <t>Sítio Pedra Branca, Linha 21, km 17, gleba 20, lotes 12, 13 e 14.</t>
  </si>
  <si>
    <t>BHZ56H3T</t>
  </si>
  <si>
    <t>Efetuar a plataforma Petrobras 43 (P-43), no dia 18 de fevereiro de 2018, o descarte de água produzida em desacordo com a regulamentação específica. Teor de Oleos e Graxas - TOG de 69 mg/l, superior ao valor máximo de 42 mg/l estabelecido pela Resolução CONAMA 393/2007.</t>
  </si>
  <si>
    <t>Rio das Ostras</t>
  </si>
  <si>
    <t>Bacia de Campos</t>
  </si>
  <si>
    <t>38, caput Decreto 4.136/2002..</t>
  </si>
  <si>
    <t>Y28HHNL6</t>
  </si>
  <si>
    <t>KLEBER MARQUES NEVES</t>
  </si>
  <si>
    <t>HN2S1X8J</t>
  </si>
  <si>
    <t>Destruir 146,76 ha de floresta nativa na região Amazônica, objeto de especial preservação, sem a licença outorgada pela autoridade ambiental competente, no polígono de coordenadas centrais 12°18'43,84" S e 64°01'26,43" W, de ID 2018AWS000034281, conforme mapa com análise temporal de imagens anexo ao processo.</t>
  </si>
  <si>
    <t>Leandro Duarte de Almeida</t>
  </si>
  <si>
    <t>Linha 90, km 23, pt 77</t>
  </si>
  <si>
    <t>50 2º Decreto 6514; 70 1º Lei 9605; 72 Lei 9605; 3º II Decreto 6514.</t>
  </si>
  <si>
    <t>NLILEPN7</t>
  </si>
  <si>
    <t>KAESER COMPRESSORES DO BRASIL LTDA</t>
  </si>
  <si>
    <t>33, IV 12.305/2010; 62, XII Decreto n° 6.514/2008.</t>
  </si>
  <si>
    <t>I9WFC0GC</t>
  </si>
  <si>
    <t>Ribeirão Pires</t>
  </si>
  <si>
    <t>LUBRAQUIM INDUSTRIA E COMERCIO DE LUBRIFICANTES LT</t>
  </si>
  <si>
    <t>N9XSKS82</t>
  </si>
  <si>
    <t>Exercer pesca de peixe diverso, em desacordo com a licença obtida. (Manzuar)</t>
  </si>
  <si>
    <t>Maria de Fátima Martins Rodrigues</t>
  </si>
  <si>
    <t>Porto do Parajuru</t>
  </si>
  <si>
    <t>LAG PANULIRUS II</t>
  </si>
  <si>
    <t>37 Decreto 6514; 70 1º Lei 9605; 72 Lei 9605; 3º II Decreto 6514.</t>
  </si>
  <si>
    <t>LQOCMSRT</t>
  </si>
  <si>
    <t>Piracicaba</t>
  </si>
  <si>
    <t>CATERPILLAR BRASIL LTDA</t>
  </si>
  <si>
    <t>6PISYT1Y</t>
  </si>
  <si>
    <t>Destruir 104,16 ha de floresta nativa na região Amazônica, objeto de especial preservação, sem a licença outorgada pela autoridade ambiental competente, no polígono de coordenadas centrais 12°02'01,71" S e 63°50'33,9" W, de ID 2018AWS000029298, conforme mapa com análise temporal de imagens anexo ao processo.</t>
  </si>
  <si>
    <t>EDILSO GONÇALVES MICHELS</t>
  </si>
  <si>
    <t>Rod BR 429, km 02, lh 22, km 45</t>
  </si>
  <si>
    <t>S90BYDM5</t>
  </si>
  <si>
    <t>Destruir 109,16 ha de floresta nativa na região Amazônica, objeto de especial preservação, sem a licença outorgada pela autoridade ambiental competente, no polígono de coordenadas centrais 11°55'47,66 S e 63°50'32,12 W, de ID 2018SAD00000322, conforme mapa com análise temporal de imagens anexo ao processo.</t>
  </si>
  <si>
    <t>Elaine Cristina de Souza Cavagna</t>
  </si>
  <si>
    <t>Travessão da 90, Setor Goiano</t>
  </si>
  <si>
    <t>2D1S9LQJ</t>
  </si>
  <si>
    <t>Adquirir 45,343 m3 de madeira serrada de espécies nativas do Bioma Amazônico, sem licença válida outorgada pela autoridade competente, que foi transportada pelo veículo placas: QGU0H72 / OEV2234.</t>
  </si>
  <si>
    <t>Parnamirim</t>
  </si>
  <si>
    <t>JERONIMO FRANCISCO DOS SANTOS</t>
  </si>
  <si>
    <t>BR 101, KM 103, Parnamirim/RN.</t>
  </si>
  <si>
    <t>ZSILRVGG</t>
  </si>
  <si>
    <t>Transportar 45,343 m3 de madeira serrada de espécies nativas do Bioma Amazônico, no veículo placas: QGU0H72 / OVE2234, sem licença válida outorgada pela autoridade competente.</t>
  </si>
  <si>
    <t>LUCIANO ANDRE DA SILVA BASILIO</t>
  </si>
  <si>
    <t>H8FXFAAN</t>
  </si>
  <si>
    <t>Destruir uma área de 5.80ha de vegetação nativa, no bioma amazônico, objeto de especial preservação, nas coordenadas geográfica central 04°53'27,427"S - 50°29'49,636"W.</t>
  </si>
  <si>
    <t>Novo Repartimento</t>
  </si>
  <si>
    <t>Amado José Brandão</t>
  </si>
  <si>
    <t>PA Rio Gelado (Progresso), Gleba 1, Lote 243, Vicinal Quatro, 45 - Zona Rural, Novo Repartimento</t>
  </si>
  <si>
    <t>I6Z8HMIC</t>
  </si>
  <si>
    <t>Destruir 133,26 ha de floresta nativa na região Amazônica, objeto de especial preservação, sem a licença outorgada pela autoridade ambiental competente, no polígono de coordenadas centrais 11°56'32,88 S e 63°54'56,2 W, de ID 2018AMC000033261, conforme mapa com análise temporal de imagens anexo ao processo.</t>
  </si>
  <si>
    <t>CARLOS ROBERTO ROZENDO</t>
  </si>
  <si>
    <t>Linha 01, travessão 07</t>
  </si>
  <si>
    <t>0N90EQ3V</t>
  </si>
  <si>
    <t>Deixar de atender a notificação dos Pareceres Técnicos n°s. xxx de xxx; xxx de xxx e no Relatório de Vistoria n° xxx.</t>
  </si>
  <si>
    <t>MUNICIPIO DE FLORIANOPOLIS</t>
  </si>
  <si>
    <t>NZJ2DZDS</t>
  </si>
  <si>
    <t>Danificar 161,06 hectares de floresta nativa na Região Amazônica, objeto de especial preservação, sem a licença outorgada pelo órgão ambiental competente, no polígono de coordenadas centrais 11°50'46" S e 63°46'51,24" W, de ID_2019AWS00006231, conforme mapa com análise temporal de imagens anexo.</t>
  </si>
  <si>
    <t>Leonardo Matos do Amaral</t>
  </si>
  <si>
    <t>travessão da 90, km 6.37 à direita</t>
  </si>
  <si>
    <t>V87XLJ97</t>
  </si>
  <si>
    <t>Efetuar a plataforma Petrobras 57 (FPSO P 57), no dia 24 de fevereiro de 2018, o descarte de água produzida em desacordo com a regulamentação específica. Teor de Oleos e Graxas - TOG de 121 mg/l, superior ao valor máximo de 42 mg/l estabelecido pela Resolução CONAMA 393/2007.</t>
  </si>
  <si>
    <t>70 § 1 72 Lei 9605/98; 3 II Decreto 6514/2008; 25 V Lei 9966/00.</t>
  </si>
  <si>
    <t>38, caput Decreto 4.136-2002.</t>
  </si>
  <si>
    <t>GQUN2MNN</t>
  </si>
  <si>
    <t>Deixar de inscrever-se no Cadastro Técnico Federal de que trata o art. 17 da Lei n° 6.938, de 1981.</t>
  </si>
  <si>
    <t>JX Nippon Oil &amp; Gas Exploration (Brasil) Ltda.</t>
  </si>
  <si>
    <t>76, V Decreto n° 6.514/2008; 17, . Lei n° 6.938/1981.</t>
  </si>
  <si>
    <t>OHMV5CCH</t>
  </si>
  <si>
    <t>Transportar 40,9534 m³ de madeira serrada de essências diversas sem licença ambiental para todo o tempo da viagem outorgada pela autoridade competente.</t>
  </si>
  <si>
    <t>Caxias</t>
  </si>
  <si>
    <t>Alex Vagner Cavalcante Dutra</t>
  </si>
  <si>
    <t>Posto da PRF em Caxias/MA, km 543 crescente na BR-316</t>
  </si>
  <si>
    <t>OB6OXPDF</t>
  </si>
  <si>
    <t>Sede da empresa</t>
  </si>
  <si>
    <t>OGX736G7</t>
  </si>
  <si>
    <t>Ter em cativeiro espécimes da fauna silvestre brasileira sem autorização da autoridade competente pois mantinha coleiro e Catatau sem anilha.</t>
  </si>
  <si>
    <t>Jonatan Miranda Carvalho</t>
  </si>
  <si>
    <t>Rua Major Caetano, 15. Rio Novo do Sul.</t>
  </si>
  <si>
    <t>24, 3/III Decreto 6514/2008.</t>
  </si>
  <si>
    <t>RI5CNB8V</t>
  </si>
  <si>
    <t>Descumprir obrigação prevista no sistema de logística reversa implantado nos termos da Lei n° 12?305, de 2010, consoante as responsabilidades específicas estabelecidas para o referido sistema: deixar de destinar OLUC referente a meta/ano de 2018.</t>
  </si>
  <si>
    <t>Belo Horizonte</t>
  </si>
  <si>
    <t>Joy Global Brasil Indústria e Comércio Ltda.</t>
  </si>
  <si>
    <t>62, XII Decreto 6.514/2008; 33, IV Lei n° 12.305/2010.</t>
  </si>
  <si>
    <t>7L9ULI27</t>
  </si>
  <si>
    <t>Utilizar 17 (dezessete) espécimes da fauna silvestre nativa em desacordo com a autorização obtida, sendo 1 (uma) destas constante de lista oficial de espécies ameaçadas de extinção (Deliberação Normativa COPAM 147/2010.</t>
  </si>
  <si>
    <t>Chapada do Norte</t>
  </si>
  <si>
    <t>WILTON ROMENIGY GUEDES</t>
  </si>
  <si>
    <t>Rua São Vicente, 31, Distrito de Cachoeira do Norte - Chapada do Norte/MG</t>
  </si>
  <si>
    <t>24 Inc. 1,2,3, § 3,6 Decreto 6514/2008.</t>
  </si>
  <si>
    <t>XLG10EHL</t>
  </si>
  <si>
    <t>DESCUMPRIR EMBARGO Nº 807160/E, DE  CONSTRUÇÃO DE UMA FÁBRICA DE GELO, NA LOCALIDADE TORRÕES. PROCESSO Nº 02007.003151/2019-01.</t>
  </si>
  <si>
    <t>Itarema</t>
  </si>
  <si>
    <t>FRANCISCO ZACARIAS COSTA NETO</t>
  </si>
  <si>
    <t>LOLIDADE DE TORRÕES, TORRÕES, ITAREMA</t>
  </si>
  <si>
    <t>RTXACKCU</t>
  </si>
  <si>
    <t>OBSTAR A AÇÃO DO PODER PÚBLICO NO EXERCÍCIO DA ATIVIDADE DE FISCALIZAÇÃO AMBIENTAL, POR ESTÁ COM O EQUIPAMENTO DE RASTREAMENTO PREPS DESLIGADO, DO BARCO DE PESCA DENOMINADO MALAQUIAS II, INSCRIÇÃO CAPITANIA NºA161.002.827-9, NO TRAPICHE DA EMPRESA GIOVAN PESCADOS, CONFORME ESTABELECIDO NO ART 2º, DA INSTRUÇÃO NORMATIVA INTERMINISTERIAL MPA Nº 6/2010.</t>
  </si>
  <si>
    <t>A. P. DE OLIVEIRA CARVALHO</t>
  </si>
  <si>
    <t>TRAPICHE DA EMPRESA GIOVAN PESCADOS, LUIS CORREIA, PI</t>
  </si>
  <si>
    <t>AEIWB6YK</t>
  </si>
  <si>
    <t>INTERLUB ESPECIALIDADES LUBRIFICANTES LTDA.</t>
  </si>
  <si>
    <t>33, IV Lei n° 12.305/2010.</t>
  </si>
  <si>
    <t>Y34RRJ4N</t>
  </si>
  <si>
    <t>INTERGLASS DO BRASIL LUBRIFICANTES LTDA</t>
  </si>
  <si>
    <t>Z3TAZMJJ</t>
  </si>
  <si>
    <t>OBSTAR A AÇÃO DO PODER PÚBLICO NO EXERCÍCIO DA ATIVIDADE DE FISCALIZAÇÃO AMBIENTAL, POR ESTÁ COM O EQUIPAMENTO DE RASTREAMENTO PREPS DESLIGADO, DA EMBARCAÇÃO DENOMINADA CARLOS AUGUSTO, NO TRAPICHE DA EMPRESA GIOVAN PESCADOS, CONFORME ESTABELECIDO NO ART 2º, DA INSTRUÇÃO NORMATIVA INTERMINISTERIAL MPA Nº 06/2010.</t>
  </si>
  <si>
    <t>JOÃO ÂNGELO PESSOA</t>
  </si>
  <si>
    <t>TRAPICHE DA EMPRESA GIOVAN PESCADOS</t>
  </si>
  <si>
    <t>2ZDLHGG7</t>
  </si>
  <si>
    <t>OBSTAR A AÇÃO DO PODER PÚBLICO NO EXERCÍCIO DE ATIVIDADE FISCALIZAÇÃO AMBIENTAL, POR ESTÁ COM O EQUIPAMENTO DE RASTREAMENTO (PREPS), NO PORTO DA EMPRESA GIOVAN PESCADOS, EMBARCAÇÃO DENOMINADA MALAQUIAS II, INSC. CAPITANIA 161.002.827-9, CONFORME ESTABELECIDO NO ART. 2º, DA INST. NORMATIVA INTERMINISTERIAL MPA Nº 6/2010</t>
  </si>
  <si>
    <t>3º, 77, , II DECRETO FEDERAL Nº 6.514/08.</t>
  </si>
  <si>
    <t>O800TFX6</t>
  </si>
  <si>
    <t>Descumprir Embargo referente ao TEI 76698-C Referente ao Auto de Infração n°332493-D</t>
  </si>
  <si>
    <t>VANDERLEI APARECIDO BELGAMAZZI</t>
  </si>
  <si>
    <t>São Francisco do Guaporé RO</t>
  </si>
  <si>
    <t>Q6C5CMD2</t>
  </si>
  <si>
    <t>Descumprir embargo de atividades estabelecido pelo TE n° 467951 processo n° 02502.000230/2007-28.</t>
  </si>
  <si>
    <t>ANGELO FENALI</t>
  </si>
  <si>
    <t>linha 35 A</t>
  </si>
  <si>
    <t>0859G8GV</t>
  </si>
  <si>
    <t>Descumprir embargo de atividades estabelecido pelo TE n° 613777/C, processo n° 02502.000098/2013-01</t>
  </si>
  <si>
    <t>Hélio Inácio da Silva</t>
  </si>
  <si>
    <t>Linha 01, km 02</t>
  </si>
  <si>
    <t>AXPN1DP6</t>
  </si>
  <si>
    <t>Descumprir o embargo na área, objeto do termo de Embargo n° 668693 E, constante no processo 02502.000110/2015-31.</t>
  </si>
  <si>
    <t>Antonio da Cruz Baptista</t>
  </si>
  <si>
    <t>Linha 29 Km 03, Zona Rural</t>
  </si>
  <si>
    <t>LB791OR9</t>
  </si>
  <si>
    <t>Descumprir embargo de atividade estabelecido pelo TE n° 618943/E, processo n° 02502.000097/58. No polígono de centróide -12°07'01"S e -63°52'57"</t>
  </si>
  <si>
    <t>Genival Noberto Pereira</t>
  </si>
  <si>
    <t>Sítio Campo Alegre. linha 25, km 02</t>
  </si>
  <si>
    <t>6FFNYZT1</t>
  </si>
  <si>
    <t>Efetuar a plataforma Pargo-1A, no mes de julho de 2018, o descarte de agua de producao em desacordo com a regulamentacao especifica. Media dos valores do Teor de Oleos e Graxas de 31 mg/l, superior ao valor maximo mensal de 29 mg/l estabelecido pela Resolucao CONAMA 393/20079.</t>
  </si>
  <si>
    <t>Campos dos Goytacazes</t>
  </si>
  <si>
    <t>38, caput decreto 4.136/2002.</t>
  </si>
  <si>
    <t>0SNKXJGD</t>
  </si>
  <si>
    <t>Efetuar a plataforma Pargo-1A, no dia 02 de julho de 2018, o descarte de agua de producao em desacordo com a regulamentacao especifica. Teor de Oleos e Graxas de 43 mg/l, superior ao valor maximo diario de 42 mg/l estabelecido pela Resolucao CONAMA 393/20079.</t>
  </si>
  <si>
    <t>WS1TOYVL</t>
  </si>
  <si>
    <t>Efetuar a plataforma Pargo-1A, no dia 09 de junho de 2018, o descarte de agua de producao em desacordo com a regulamentacao especifica. Teor de Oleos e Graxas de 54 mg/l, superior ao valor maximo diario de 42 mg/l estabelecido pela Resolucao CONAMA 393/20079.</t>
  </si>
  <si>
    <t>XXLQCGZB</t>
  </si>
  <si>
    <t>Efetuar a plataforma Pargo-1A, no dia 06 de junho de 2018, o descarte de agua de producao em desacordo com a regulamentacao especifica. Teor de Oleos e Graxas de 49 mg/l, superior ao valor maximo diario de 42 mg/l estabelecido pela Resolucao CONAMA 393/20079.</t>
  </si>
  <si>
    <t>2OLH0YY1</t>
  </si>
  <si>
    <t>Destruir (supressão) de 26,50 hectares de fragmento de vegetação BIOMA MATA ATLÂNTICA, vegetação secundária em estágio inicial de regeneração, considerada objeto de especial preservação, sem autorização da autoridade ambiental competente.</t>
  </si>
  <si>
    <t>Amambai</t>
  </si>
  <si>
    <t>Carlos Eduardo Macedo Marques</t>
  </si>
  <si>
    <t>Fazenda São Luiz</t>
  </si>
  <si>
    <t>25, - Lei n°11428/2006.</t>
  </si>
  <si>
    <t>3J6WN4G3</t>
  </si>
  <si>
    <t>Descumprir o embargo da área, objeto do termo de Embargo n° 618770 C, constante no processo 02024.001303/2012-49.</t>
  </si>
  <si>
    <t>Antonio Soares Rocha</t>
  </si>
  <si>
    <t>Sítio Lago da Confusão, linha 25, Km 15</t>
  </si>
  <si>
    <t>P1F2HR4W</t>
  </si>
  <si>
    <t>Efetuar a plataforma Pargo-1A, no dia 05 de junho de 2018, o descarte de agua de producao em desacordo com a regulamentacao especifica. Teor de Oleos e Graxas de 76 mg/l, superior ao valor maximo diario de 42 mg/l estabelecido pela Resolucao CONAMA 393/20079.</t>
  </si>
  <si>
    <t>38, caput Dcreto 4.136/2002.</t>
  </si>
  <si>
    <t>26HJTA4S</t>
  </si>
  <si>
    <t>Descumprir embargo de atividade estabelecido pelo TE n° 618115/C, processo n° 02024.001001/2011-90</t>
  </si>
  <si>
    <t>José Donato Frutuoso</t>
  </si>
  <si>
    <t>Linha 25, km 20</t>
  </si>
  <si>
    <t>6WM73EH9</t>
  </si>
  <si>
    <t>Destruir a corte raso, consumado pelo uso do fogo, 214,49 hectares de floresta nativa, no Bioma Amazônico, objeto de especial preservação, sem licença outorgada pela autoridade ambiental competente, nos polígonos de coordenadas centrais; S 8°36'06,2" W 66°58'59,6" ID2019AWS000010244 com 108,90 hectares, S8°36'45,3" W66°59'23,3" ID 2019AWS000010692, com 73,35 hectares, S8°35'53,4" W66°58'02,7" ID 2019AWS000046381 com 32,24 hectares, conforme mapa de análise temporal de imagens anexo ao processo.</t>
  </si>
  <si>
    <t>Sem denominação, coordenadas geográficas de referência em carta imagem</t>
  </si>
  <si>
    <t>TNMHQVOZ</t>
  </si>
  <si>
    <t>Descumprir Embargo referente ao TEI n°469672-C ; constante no processo n°02502.000249/09-36. referente ao Auto de Infração n°555996-D</t>
  </si>
  <si>
    <t>GREKITUI CLAITON RODRIGUES DE ALMEIDA</t>
  </si>
  <si>
    <t>zona rural</t>
  </si>
  <si>
    <t>WOXEO77L</t>
  </si>
  <si>
    <t>Transportar 23,001 metros cúbicos de madeira serrada de essências diversas, sem licença  para todo tempo da viagem outorgada pela autoridade competente</t>
  </si>
  <si>
    <t>Valença do Piauí</t>
  </si>
  <si>
    <t>BRUNO JOATA FERREIRA DE AMORIM</t>
  </si>
  <si>
    <t>Polícia rodoviária federal de Valença do Piauí/PI; BR-316 KM 207</t>
  </si>
  <si>
    <t>FKHEW1LK</t>
  </si>
  <si>
    <t>Ibravan Soluções Químicas Ltda.</t>
  </si>
  <si>
    <t>9W78BRGR</t>
  </si>
  <si>
    <t>DESTRUIR 40 HECTARES DE FLORESTA NATIVA, OBJETO DE ESPECIAL PRESERVAÇÃO NA AMAZÔNIA LEGAL, SEM AUTORIZAÇÃO DO ÓRGÃO AMBIENTAL COMPETENTE. NO PONTO 24 DO ID 2019JJF000045801. CONFORME MAPA COM ANÁLISE TEMPORAL DE IMAGEM.</t>
  </si>
  <si>
    <t>HÉLIO GOMES</t>
  </si>
  <si>
    <t>ASSENTAMENTO DONA ZEFA, GLEBA DO TENENTE, SÍTIO SÃO JORGE, LINHA DOS MINEIROS, ZONA RURAL EM JAPURANÃ - NOVA BANDEIRANTES-MT</t>
  </si>
  <si>
    <t>H8CONGGY</t>
  </si>
  <si>
    <t>Descumprir embargo de atividades estabelecido pelo TE n° 467348/C, processo 02502.001729/2008-33.</t>
  </si>
  <si>
    <t>ELCIO AFONSO DE CARVALHO</t>
  </si>
  <si>
    <t>linha 22, km 30</t>
  </si>
  <si>
    <t>ETEJ8D3F</t>
  </si>
  <si>
    <t>Efetuar a plataforma Petrobras 57 (FPSO P-57) no mes de junho de 2018, o descarte de agua de producao em desacordo com a regulamentacao especifica. Descarte de agua de producao com Teor de Oleos e Graxas Mensal de 31 mg/l, superior ao valor maximo mensal de 29 mg/l estabelecido pela Resolucao CONAMA 393/2007.</t>
  </si>
  <si>
    <t>Petroleo Brasileiro S. A.</t>
  </si>
  <si>
    <t>SHMH0F7N</t>
  </si>
  <si>
    <t>FUTURA PRODUTOS AUTOMOTIVOS LTDA ME</t>
  </si>
  <si>
    <t>ZG7RGUB8</t>
  </si>
  <si>
    <t>Desmatar, a corte raso, 45,9412 hectares de vegetação nativa do bioma caatinga, sem autorização da autoridade competente. Coordenadas Geográficas: 12°53'57''S/40°23'48''W (área 1) e 12°53'50''S/40°23'37"W (área 2).</t>
  </si>
  <si>
    <t>Iaçu</t>
  </si>
  <si>
    <t>IPECA EMPREENDIMENTOS AGROPECUARIOS E TRANSPORTADORA LTDA -ME</t>
  </si>
  <si>
    <t>Fazenda Santana - Distrito João Amaro, Iaçu/BA, CEP 46.860-000.</t>
  </si>
  <si>
    <t>VXW626PF</t>
  </si>
  <si>
    <t>EDWARDS VÁCUO LTDA.</t>
  </si>
  <si>
    <t>70 § 1 72 Lei 9605/98; 3 II 62 Decreto 6514/2008.</t>
  </si>
  <si>
    <t>RUQVV5L0</t>
  </si>
  <si>
    <t>Transportar 27,054 M3 de madeira serrada de essências diversas, em caibros, pranchas e linhas, sem licença da autoridade competente.</t>
  </si>
  <si>
    <t>Posto da PRF em Valença do Piauí,  BR. 316, KM- 207</t>
  </si>
  <si>
    <t>96LK5BYS</t>
  </si>
  <si>
    <t>Descumprir obrigação prevista no sistema de logística reversa implantado nos termos da Lei 12.305, de 2010, consoante as responsabilidades específicas estabelecidas para o referido sistema: deixar de destinar OLUC referente a meta/ano de 2018.</t>
  </si>
  <si>
    <t>CASTROL BRASIL LTDA</t>
  </si>
  <si>
    <t>62, XII Decreto 6.514/2008; 33, IV Lei 12.305/2010.</t>
  </si>
  <si>
    <t>WTDEBICU</t>
  </si>
  <si>
    <t>DNOW BRASIL DIST. DE PRODUTOS INDUSTRIAIS LTDA</t>
  </si>
  <si>
    <t>M9FTMHVS</t>
  </si>
  <si>
    <t>Art.62 Incorre nas mesmas multas do ART. 61 quem:
VI - deixar, aquele que tem obrigação, de dar destinação ambientalmente adequada a produtos, subprodutos, embalagens, resíduos ou substâncias quando assim determinar a lei ou outro ato normativo.</t>
  </si>
  <si>
    <t>CANTAREIRA TRANSMISSORA DE ENERGIA S/A</t>
  </si>
  <si>
    <t>62, VI Decreto 6514/2008.</t>
  </si>
  <si>
    <t>BJ51P8AG</t>
  </si>
  <si>
    <t>TER EM CATIVEIRO 13 ANIMAIS SILVESTRES DA FAUNA BRASILEIRA. (06 GRAUNAS, 03 CANARIOS DA TERRA, 03 ABRE E FECHA E 01 GALO DE CAMPINA)</t>
  </si>
  <si>
    <t>JOSÉ ERMERSON REBOUÇAS DO ROSÁRIO</t>
  </si>
  <si>
    <t>localidade melancia de baixo</t>
  </si>
  <si>
    <t>24 § 3 Decreto 6514/2008.</t>
  </si>
  <si>
    <t>VY3VF6JJ</t>
  </si>
  <si>
    <t>Efetuar a plataforma Petrobras 54 (P-54), no dia 19 de dezembro de 2017, o descarte de agua de producao em desacordo com a regulamentacao especifica. Teor de Oleos e Graxas de 45 mg/l, superior ao valor maximo diario de 42 mg/l estabelecido pela Resolucao CONAMA 393/20079.</t>
  </si>
  <si>
    <t>K1NBBLAM</t>
  </si>
  <si>
    <t>DELTEC EQUIPAMENTOS INDUSTRIAIS LTDA</t>
  </si>
  <si>
    <t>GLQA6BXE</t>
  </si>
  <si>
    <t>Desmatar, 9,30 Hectares de floresta de vegetação nativa, objeto de especial preservação (Amazônia Brasileira), sem autorização do órgão ambiental competente.
Conforme carta imagem anexa ao processo.
ID n°: 2019AMC0000000015.</t>
  </si>
  <si>
    <t>OSMANO FREITAS DA SILVA</t>
  </si>
  <si>
    <t>Linha 138, km 08, zona rural -  Nova Brasilândia do Oeste-RO.</t>
  </si>
  <si>
    <t>09DZCHJZ</t>
  </si>
  <si>
    <t>Descumprir embargo de atividade estabelecido pelo TE n° 467735/C, processo n° 02502.000066/2008-30</t>
  </si>
  <si>
    <t>HELAIDO CARLOS MARCON REI</t>
  </si>
  <si>
    <t>Linha 02A, km 23</t>
  </si>
  <si>
    <t>O6VAM0MO</t>
  </si>
  <si>
    <t>Caxias do Sul</t>
  </si>
  <si>
    <t>BRASTEMA TECNOLOGIA TEXTIL LTDA</t>
  </si>
  <si>
    <t>4NXL350W</t>
  </si>
  <si>
    <t>Descumprir o embargo da área, objeto do termo de Embargo n° 655941 E,  lavrado em 13/04/2013, constante no processo IBAMA 02502.000123/2015-8.</t>
  </si>
  <si>
    <t>Arlindo Krause</t>
  </si>
  <si>
    <t>Linha 33, Km 05 lote 32, setor Cautarino</t>
  </si>
  <si>
    <t>OKVTSTP2</t>
  </si>
  <si>
    <t>Descumprir embargo de área de 125,44hectares, parte embargada no TEI nº 611191-E datado de 19/11/2014 (Processo 02047.000910/2014-95), com implantação de pastagem e gado na atividade pecuária.</t>
  </si>
  <si>
    <t>Portel</t>
  </si>
  <si>
    <t>JOSE RONILDO SILVA DOS SANTOS</t>
  </si>
  <si>
    <t>Rodovia BR-230 Vicinal Portel, ramal Lisboa km-97 Fazenda GR, zona rural Portel-Pa.</t>
  </si>
  <si>
    <t>EMB PHOENIX II MAB</t>
  </si>
  <si>
    <t>MYXFQPHG</t>
  </si>
  <si>
    <t>Descumprir embargo de atividades estabelecido pelo TE n° 618758/C, processo 02024.001295/2012-31.</t>
  </si>
  <si>
    <t>EUGENIO BARBOSA DA SILVA</t>
  </si>
  <si>
    <t>Travessão da linha 21 com linha 22</t>
  </si>
  <si>
    <t>0BDXFWDY</t>
  </si>
  <si>
    <t>Desmatar a corte raso 1,7 hectare de vegetação nativa, bioma Caatinga, sem autorização dos órgãos ambientais competentes. (Coordenadas centrais 09°58'25,7"S e 037°19'18.06"W, Fazenda Quixabeira).</t>
  </si>
  <si>
    <t>Porto da Folha</t>
  </si>
  <si>
    <t>Antonio Carlos de Souza Cardoso</t>
  </si>
  <si>
    <t>Fazenda Quixabeira</t>
  </si>
  <si>
    <t>011Y1IAJ</t>
  </si>
  <si>
    <t>Descumprir embargo de atividade estabelecido pelo TE n° 655940-E, processo n° 02502.000117/2015-52</t>
  </si>
  <si>
    <t>Leia Silva dos Anjos</t>
  </si>
  <si>
    <t>Linha 95, km 27</t>
  </si>
  <si>
    <t>UC834QQE</t>
  </si>
  <si>
    <t>Transportar 13 metros cúbicos de achas e tocos da espécie nativa Aroeira (Myracrodruon urundeuva), no veículo placa GYP-0345, sem licença válida para todo o tempo da viagem, conforme Boletim de Ocorrência PRF xxx.</t>
  </si>
  <si>
    <t>Buritizeiro</t>
  </si>
  <si>
    <t>MARIA ISABEL MORAIS FILHO</t>
  </si>
  <si>
    <t>Rodovia BR-365, km 211 - Buritizeiro/MG.</t>
  </si>
  <si>
    <t>48, IV IN IBAMA 21/2014.</t>
  </si>
  <si>
    <t>1M0ZH8OA</t>
  </si>
  <si>
    <t>Descumprir embargo de atividade estabelecido pelo TE n° 668681/E, processo n° 02502.000120/2015-76</t>
  </si>
  <si>
    <t>GETULIO VOLKERS</t>
  </si>
  <si>
    <t>Linha 27, km 06, setor Serra dos Reis</t>
  </si>
  <si>
    <t>Z2Z5BRJG</t>
  </si>
  <si>
    <t>DESTRUIR 42,26 HECTARES DE FLORESTA DE VEGETAÇÃO NATIVA, OBJETO DE ESPECIAL PRESERVAÇÃO  (AMAZÔNIA BRASILEIRA), SEM AUTORIZAÇÃO DO ÓRGÃO AMBIENTAL COMPETENTE.
CONFORME CARTA IMAGEM ANEXA AO PROCESSO.
ID N°: 2019AWS000022460.</t>
  </si>
  <si>
    <t>BELMIRO GORCZAK</t>
  </si>
  <si>
    <t>LINHA 29 KM 22 LOTE 33 TRAVESSÃO PARA 95</t>
  </si>
  <si>
    <t>VKP0PMGT</t>
  </si>
  <si>
    <t>Destruir 72,03 hectares de vegetação nativa na região amazônica, objeto de especial preservação, sem autorização da autoridade ambiental competente, conforme polígono com coordenadas, anexo ao processo. Observação: ID2019AWS000009459.</t>
  </si>
  <si>
    <t>Alcir Berticelli Junior</t>
  </si>
  <si>
    <t>Fazenda São José</t>
  </si>
  <si>
    <t>50, Paragrafo 2° 6514/2008.</t>
  </si>
  <si>
    <t>8R8O59GC</t>
  </si>
  <si>
    <t>ATF SOLUCOES EM MONTAGEM LTDA - EPP</t>
  </si>
  <si>
    <t>ATF SOLUÇÕES EM MONTAGEM LTDA EPP</t>
  </si>
  <si>
    <t>PIHFIYET</t>
  </si>
  <si>
    <t>Descumprir o embargo da área, objeto do Termo de Embargo n° 668684, lavrado em 30/04/2015, constante no processo 02502.000119/2015-41.</t>
  </si>
  <si>
    <t>José Antonio de Oliveira Fonseca</t>
  </si>
  <si>
    <t>Sítio 2 Irmãos, linha 95 Km 04, lote 103, setor Cautarino.</t>
  </si>
  <si>
    <t>V9NF00E9</t>
  </si>
  <si>
    <t>DESTRUIR 13,35 HECTARES DE FLORESTA NATIVA OBJETO DE ESPECIAL PRESERVAÇÃO NA AMAZÔNIA LEGAL, SEM AUTORIZAÇÃO DO ÓRGÃO AMBIENTAL COMPETENTE. LOCALIZADA NO PONTO 28, DO ID 2019000036622. CONFORME MAPA COM ANÁLISE TEMPORAL DE IMAGEM.</t>
  </si>
  <si>
    <t>ANA CARVALHO DAS MERCÊS</t>
  </si>
  <si>
    <t>ASSENTAMENTO JAPURANÃ, NA LINHA UM, NA ESTRADA DA CORDILHEIRA, LOTE 421 - ZONA RURAL NO MUNÍCIPIO DE NOVA BANDEIRANTES-MT</t>
  </si>
  <si>
    <t>DQS6MBP1</t>
  </si>
  <si>
    <t>destruir 24,22 ha e floresta nativa objeto de especial preservação, bioma amazônico, sem autorização de órgão ambiental competente localizada no ponto 29 ID 2019AWS000049069.</t>
  </si>
  <si>
    <t>Marcos Olímpio de Oliveira</t>
  </si>
  <si>
    <t>Estrada da Cordilheira - linha 01 - PA. Japuranã Zona Rural
Município de Nova Bandeirantes - MT</t>
  </si>
  <si>
    <t>7GYVTKT4</t>
  </si>
  <si>
    <t>DESCUMPRIMENTO DE EMBARGO CONFORME  TERMO  N° 469525-C, REFERENTE A 41,59 HECTARES OBJETO DO AUTO DE INFRAÇÃO N° 677100-D.</t>
  </si>
  <si>
    <t>VALFREDO PÁGING</t>
  </si>
  <si>
    <t>Travessão pé de galinha linha 95 km 23</t>
  </si>
  <si>
    <t>HGZGRGE1</t>
  </si>
  <si>
    <t>DESTRUIR 16,46 HECTARES DE FLORESTA NATIVA OBJETO DE ESPECIAL PRESERVAÇÃO NA AMAZÔNIA LEGAL, SEM AUTORIZAÇÃO DO ÓRGÃO AMBIENTAL AMBIENTAL COMPETENTE. LOCALIZADA NO PONTO 27, DO ID 2019AWS000049075.</t>
  </si>
  <si>
    <t>ERONILDO DOS SANTOS</t>
  </si>
  <si>
    <t>Assentamento Japuranã, na Linha três, na Estrada da Cordilheira, no Lote 420, Zona Rural no munícipio de Nova Bandeirantes/MT</t>
  </si>
  <si>
    <t>P47NNEUD</t>
  </si>
  <si>
    <t>Efetuar a Plataforma de Pargo (PPG-1), no dia 07 de fevereiro de 2019, o descarte de água produzida em desaordo com a regulamentação específica. Teor de Oleos e Graxas - TOG de 50 mg/l, superior ao valor máximo de 42 mg/l estabelecido pela Resolução CONAMA 393/2007.</t>
  </si>
  <si>
    <t>WJRYOFEZ</t>
  </si>
  <si>
    <t>destruir 103,108 hectares de Floresta Nativa na Fazenda Tucumã Manicoré- AM, objeto de especial preservação sem Autorização ou Licença da Autoridade Ambiental Competente.</t>
  </si>
  <si>
    <t>Manicoré</t>
  </si>
  <si>
    <t>RENATO MAMORU OTA</t>
  </si>
  <si>
    <t>Fazenda Tucumã, Manicoré - AM</t>
  </si>
  <si>
    <t>50 1º Decreto 6514; 50 2º Decreto 6514; 70 1º Lei 9605; 72 Lei 9605; 3º II Decreto 6514; 3º VII Decreto 6514.</t>
  </si>
  <si>
    <t>YPN6WSB4</t>
  </si>
  <si>
    <t>Efetuar a plataforma PGP-1, no dia 11 de maio de 2018, o descarte de agua de producao em desacordo com a regulamentacao especifica. Teor de Oleos e Graxas de 4994 mg/l, superior ao valor maximo diario de 42 mg/l estabelecido pela Resolucao CONAMA 393/20079.</t>
  </si>
  <si>
    <t>38, caput 4136/2002.</t>
  </si>
  <si>
    <t>PQCU2KEV</t>
  </si>
  <si>
    <t>Deixar de apresentar informações ambientais junto a ANP nos prazos exigidos pela legislação (relatórios de comercialização de óleo lubrificante-SIMP).</t>
  </si>
  <si>
    <t>São Gonçalo dos Campos</t>
  </si>
  <si>
    <t>MULTIGRAX INDUSTRIA QUIMICA DO BRASIL LTDA</t>
  </si>
  <si>
    <t>16, . Resolução CONAMA n° 362/2005; 2° , . Resolução ANP n° 729/2018.</t>
  </si>
  <si>
    <t>GNB39Y14</t>
  </si>
  <si>
    <t>Destruir 168,914 hectares de Floresta Nativa na Fazenda Cavalo de Aço São Félix do Xingu PA, objeto de Especial Preservação sem Autorização ou Licença da Autoridade Ambiental Competente.</t>
  </si>
  <si>
    <t>São Félix do Xingu</t>
  </si>
  <si>
    <t>Antonio dias do Nascimento</t>
  </si>
  <si>
    <t>Fazenda Cavalo de Aço- São Félix do Xingu PA</t>
  </si>
  <si>
    <t>RYG8DAU2</t>
  </si>
  <si>
    <t>São Caetano do Sul</t>
  </si>
  <si>
    <t>MUTEKI COMÉRCIO IMPORTAÇÃO E EXPORTAÇÃO LTDA</t>
  </si>
  <si>
    <t>KG51YG5W</t>
  </si>
  <si>
    <t>Destruir 74,20hectares de floresta nativa, Objeto de Especial Preservação (Floresta Amazônica Brasileira), nas Coordenadas Geográfica central Lat. 03°07'52,24"S Long. 50°22'05,37"W, conforme ID-Des: 2019AWS000034572, sem autorização ou licença da autoridade ambiental competente.</t>
  </si>
  <si>
    <t>ANTÔNIO SOARES MACHADO</t>
  </si>
  <si>
    <t>Vicinal Portel, Ramal da Lisboa km 122, Zona Rural - Portel/PA</t>
  </si>
  <si>
    <t>JMVXD5DX</t>
  </si>
  <si>
    <t>Impedir a regeneração natural de área de 125,44hectares de vegetação nativa na área embargada indicada pela autoridade competente no TEI nº 611191-E datado de 19/11/2014 (Processo 02047.000910/2014-95).</t>
  </si>
  <si>
    <t>Rodovia BR-230, vicinal Portel, ramal Lisboa, km-97 fazenda GR zona rural Portel-Pa.</t>
  </si>
  <si>
    <t>GV1FRHTA</t>
  </si>
  <si>
    <t>Bauru</t>
  </si>
  <si>
    <t>SPEEDY OIL INDÚSTRIA E COMÉRCIO DE LUBRIFICANTES E PETRÓLEO</t>
  </si>
  <si>
    <t>16, . Resolução CONAMA n° 362/2005; 2°, . Resolução ANP n° 729/2018.</t>
  </si>
  <si>
    <t>Z64JLDGW</t>
  </si>
  <si>
    <t>Suplean Tecnologia em Vedações- EIRELI</t>
  </si>
  <si>
    <t>UOYB9J9Z</t>
  </si>
  <si>
    <t>Destruir 62,61 hectares de vegetação nativa, Objeto de especial preservação (Floresta Amazônica Brasileira), nas Coordenadas Geográfica central Lat. 03°08'37,58"S Long. 50°22'54.05"W, no município de Portel, sem autorização ou licença da autoridade ambiental competente, conforme ID-DES2019.SAR000004304.</t>
  </si>
  <si>
    <t>ADALBERTO BISPO PASSOS</t>
  </si>
  <si>
    <t>Vicinal Portel, vila Lisboa km 78, ramal do 30, Zona Rural - Pacajá/PA</t>
  </si>
  <si>
    <t>FWTJ99GS</t>
  </si>
  <si>
    <t>Efetuar a plataforma PGP-1, no dia 14 de maio de 2018, o descarte de agua de producao em desacordo com a regulamentacao especifica. Teor de Oleos e Graxas de 1891 mg/l, superior ao valor maximo diario de 42 mg/l estabelecido pela Resolucao CONAMA 393/20079.</t>
  </si>
  <si>
    <t>G1XG99K3</t>
  </si>
  <si>
    <t>Damião Pereira Cesar</t>
  </si>
  <si>
    <t>Sitio Boa esperança - São Félix do Xingu PA</t>
  </si>
  <si>
    <t>SGPECTFP</t>
  </si>
  <si>
    <t>Executar extração de minérios, sem licença da autoridade ambiental competente na Terra Indígena Sararé.</t>
  </si>
  <si>
    <t>Vila Bela da Santíssima Trindade</t>
  </si>
  <si>
    <t>Enilton Cabral de Amorim</t>
  </si>
  <si>
    <t>Terra Indígena Sararé</t>
  </si>
  <si>
    <t>EXP CASEUS HELVETICA II</t>
  </si>
  <si>
    <t>MGAYPBCP</t>
  </si>
  <si>
    <t>Transportar 02 animais da Fauna Silvestre Brasileira, da espécie popularmente conhecida como tartaruga da Amazônia, sem autorização da autoridade ambiental competente.</t>
  </si>
  <si>
    <t>Santana</t>
  </si>
  <si>
    <t>Ronison Neves da Silva</t>
  </si>
  <si>
    <t>Rio Amazonas, Porto do Grego Município de Santana-AP.</t>
  </si>
  <si>
    <t>299NIT6Z</t>
  </si>
  <si>
    <t>Descumprir embargo de área de 83,92 hectares, embargada no TEI nº 769751-E datado de 13/09/2018 (Processo 2018.011029/2018-91), com implantação de pastagem e gado na atividade pecuária.</t>
  </si>
  <si>
    <t>JOSE WANDERLAM BERNARDO BARRETO</t>
  </si>
  <si>
    <t>Rodovia BR-230 vicinal Lisboa km-125 zona rural Portel-Pa.</t>
  </si>
  <si>
    <t>9EKYDDT5</t>
  </si>
  <si>
    <t>Destruir 24,63 hectares de vegetação nativa, objeto de especial preservação (Floresta Amazônica Brasileira), sem autorização ou licença da autoridade ambiental competente. ID_Des:2017AWS0195923.</t>
  </si>
  <si>
    <t>I0JYF53I</t>
  </si>
  <si>
    <t>SUNNEN DO BRASIL IND.E COM.DE MAQUINAS E FERRAMENTAS DE BRUNIMENTO, MEDIÇÃO E ACESSORIOS LTDA</t>
  </si>
  <si>
    <t>BV1EIWPM</t>
  </si>
  <si>
    <t>Exerce a pesca de arrasto de camarão, embarcação denominada avião, sem permissão do Órgão Ambiental competente.</t>
  </si>
  <si>
    <t>Aracati</t>
  </si>
  <si>
    <t>Pescar em período ou local no qual a pesca seja proibida, exercer a pesca sem prévio cadastro, inscrição, autorização, licença, permissão ou registro do órgão competente, ou em desacordo com o obtido.</t>
  </si>
  <si>
    <t>Mauro Valente da Silva</t>
  </si>
  <si>
    <t>Porto da Maria Gorda em Aracati/Ce</t>
  </si>
  <si>
    <t>70 §1º 72 Lei 9605/98; 3º II 37 Decreto 6514/2008.</t>
  </si>
  <si>
    <t>PH6EJ85S</t>
  </si>
  <si>
    <t>Destruir 45,46 hectares de Floresta Nativa na Fazenda Pontal Nova Vida, são  Félix do Xingu PA, objeto de especial preservação sem Autorização ou Licença da Autoridade Ambiental Competente.</t>
  </si>
  <si>
    <t>Leila Rodrigues Teles</t>
  </si>
  <si>
    <t>Fazenda Pontal Nova Vida São Félix do Xingu PA</t>
  </si>
  <si>
    <t>TLHN3TCI</t>
  </si>
  <si>
    <t>Destruir 55,946 hectares de Floresta Nativa na Fazenda Vista Alegre São Félix do Xingu PA, objeto de especial preservação, sem Autorização ou Licença da Autoridade Ambiental Competente.</t>
  </si>
  <si>
    <t>Almir Leao do Amaral Filho</t>
  </si>
  <si>
    <t>Fazenda Vista Alegre São Félix do Xingu PA</t>
  </si>
  <si>
    <t>IAALFAFN</t>
  </si>
  <si>
    <t>Destruir 40,07 hectares de Floresta Nativa na Gleba M2 Setor 8-Manicore AM, objeto de Especial Preservação, sem Licença ou Autorização da Autoridade Ambiental Competente.</t>
  </si>
  <si>
    <t>Antoninho de Lima Filho</t>
  </si>
  <si>
    <t>GLEBA M2 Setor 8 lote 45 Manicore  AM</t>
  </si>
  <si>
    <t>N1IMYJ41</t>
  </si>
  <si>
    <t>Deixar de entregar os relatórios anuais de atividades potencialmente poluidoras ou utilizadoras de recursos ambientais, referente aos anos 2015/2016 e 2016/2017 no prazo estabelecido na legislação.</t>
  </si>
  <si>
    <t>Dourados</t>
  </si>
  <si>
    <t>AUTO POSTO BV LTDA - ME</t>
  </si>
  <si>
    <t>Avenida Lindalva Marques Ferreira - Jardim Clímax</t>
  </si>
  <si>
    <t>WB95UUU8</t>
  </si>
  <si>
    <t>Descumprir Embargo de área de 65,87 hectares, parte embargada no TEI n° 632745-E, datado de 06/08/2016 ( processo 02018.002674/2016-51, com implantação de pastagens e gado bovino na atividade de pecuária.</t>
  </si>
  <si>
    <t>62A0CZ09</t>
  </si>
  <si>
    <t>Impedir a regeneração natural de área de 65,87ha de vegetação nativa na área embargada indicada pela autoridade competente no TEI n° 632745-E, datado de 06/08/2016 (processo 02018.002674/2016-51),  nas Coordenadas Geográfica central Lat. 03°08'0614"S Long° 50°22'57,79"W, sem  autorização da autoridade ambiental conforme mapa de imagem de satélite da poligonal anexa.</t>
  </si>
  <si>
    <t>0GRYF70V</t>
  </si>
  <si>
    <t>Efetuar a plataforma PGP-1, no dia 08 de maio de 2018, o descarte de agua de producao em desacordo com a regulamentacao especifica. Teor de Oleos e Graxas de 6250 mg/l, superior ao valor maximo diario de 42 mg/l estabelecido pela Resolucao CONAMA 393/20079.</t>
  </si>
  <si>
    <t>OY3H2J0E</t>
  </si>
  <si>
    <t>Impedir a regeneração natural de área de 83,92ha de vegetação nativa na área embargada indicada pela autoridade competente no TEI n°769751-E, datado 13/09/18 (Processo 02018.011029/2018-91), com implantação de pastagem e gado na atividade pecuária.</t>
  </si>
  <si>
    <t>QM5CV1O9</t>
  </si>
  <si>
    <t>Incorre nas mesmas multas do art. 61 quem: 
V - lançar resíduos sólidos, líquidos ou gasosos ou detritos, óleos ou substâncias oleosas em desacordo com as exigências estabelecidas em leis ou atos normativos.</t>
  </si>
  <si>
    <t>62, V 6514/2008.</t>
  </si>
  <si>
    <t>732VQR6G</t>
  </si>
  <si>
    <t>Pescar em período proibido (defeso da Piracema, conforme IN Ibama 25/2009) no Rio Paraná, de maneira embarcada, a nusante da UHE Engenheiro Sousa Dias (Jupiá), em 03/12/2019.</t>
  </si>
  <si>
    <t>Fábio Henrique de França</t>
  </si>
  <si>
    <t>Jusante da UHE Engenheiro Sousa Dias (Jupia).</t>
  </si>
  <si>
    <t>35 Decreto 6514; 70 1º Lei 9605; 72 Lei 9605; 3º II Decreto 6514.</t>
  </si>
  <si>
    <t>1°, 2°, 3°, III Instrução Normativa 25/2009.</t>
  </si>
  <si>
    <t>GHYH9BAW</t>
  </si>
  <si>
    <t>Adquirir 37 ( trinta e sete) espécimes de orquídeas sem documento de origem florestal.</t>
  </si>
  <si>
    <t>ZELIA DE CASTRO MONTEIRO</t>
  </si>
  <si>
    <t>Quadra 1006 Sul, Alameda 09, Lote 08. Palmas-TO</t>
  </si>
  <si>
    <t>WCVQKNC2</t>
  </si>
  <si>
    <t>Descumprir Embargo de área de 203,45ha, parte embargada no TEI n°632745-E, datado 06/08/16(Processo 02018.002674/2016-51), com implantação de pastagem e gado na atividade pecuária.</t>
  </si>
  <si>
    <t>Rodovia BR-230 vicinal Lisboa km-125 zona rural Portel-Pa</t>
  </si>
  <si>
    <t>AOZCG404</t>
  </si>
  <si>
    <t>Pescar em local proibido, a menos de 500m de distância a jusante da barragem da UHE de Jupiá.</t>
  </si>
  <si>
    <t>Porto do bairro Jupiazinho</t>
  </si>
  <si>
    <t>35 Decreto 6514; 70 1º Lei 9605; 72 Lei 9605; 3º II Decreto 6514; 3º IV Decreto 6514.</t>
  </si>
  <si>
    <t>HNKTJWBU</t>
  </si>
  <si>
    <t>Impedir a regeneração natural de área de 203,45ha de vegetação nativa na área embargada indicada pela autoridade competente no TEI-632745-E, datado de 06/08/16 (processo 02018.002674/2016-51).</t>
  </si>
  <si>
    <t>76Q4UB33</t>
  </si>
  <si>
    <t>Ter em depósito 72,0713 metros cúbicos de madeiras serradas sem autorização do órgão ambiental competente. Observo que as madeiras estavam depositadas no pátio da antiga empresa Rei do Tabique que era de propriedade do senhor Orto, sendo que a mesma está parada a mais de 2 anos.</t>
  </si>
  <si>
    <t>OTTO MATSDORFF</t>
  </si>
  <si>
    <t>Antiga Madeireira Rei do Tabique.</t>
  </si>
  <si>
    <t>KNUXBJN7</t>
  </si>
  <si>
    <t>Fazer funcionar atividade utilizadora de recursos naturais, considerado potêncialmente poluidora, sem autorização do órgão ambiental competente.
Observo que o depósito de madeiras estava funcionando sem autorização do órgão ambiental competente.</t>
  </si>
  <si>
    <t>XSVE9EJM</t>
  </si>
  <si>
    <t>DOW CORNING DO BRASIL LTDA</t>
  </si>
  <si>
    <t>GUCSJF7Y</t>
  </si>
  <si>
    <t>Deixar de apresentar informações ambientais junto a ANP nos prazos exigidos pela legislação (relatórios de comercialização de óleo lubrificante - SIMP).</t>
  </si>
  <si>
    <t>São Pedro</t>
  </si>
  <si>
    <t>Motor Spindle Brasil Importação e Exportação Ltda.</t>
  </si>
  <si>
    <t>U1K2LAO3</t>
  </si>
  <si>
    <t>Efetuar a Plataforma de PARGO 1A, , no dia 31/05/2014, o descarte de agua de producao em desacordo com a regulamentacao ambiental especifica. Teor de Oleos de Graxas superior ao limite de 42 mg/l (teor observada nas amostras nao foi informado).</t>
  </si>
  <si>
    <t>Petroleo Brasileiro S.A. - Petrobras</t>
  </si>
  <si>
    <t>Plataforma PARGO 1A</t>
  </si>
  <si>
    <t>38, caput 4.136/2002.</t>
  </si>
  <si>
    <t>41FBBWYE</t>
  </si>
  <si>
    <t>Obstar, com o uso da embarcação GRENAL, a ação do Poder Público no exercício de atividade de fiscalização ambiental.</t>
  </si>
  <si>
    <t>Rio Grande</t>
  </si>
  <si>
    <t>Ivan Barbosa Silveira</t>
  </si>
  <si>
    <t>Boca da Barra</t>
  </si>
  <si>
    <t>ROTINA VI</t>
  </si>
  <si>
    <t>4MC26AZZ</t>
  </si>
  <si>
    <t>Destruir 12,301 hectares de floresta nativa na região Amazônica, objeto de especial preservação, sem a licença outorgada pelo órgão ambiental competente, no polígono de coordenadas centrais S 12°14'10,0" e W 64°11'19,52", de ID 2019AWS000017148, conforme mapa com análise temporal de imagens anexo.</t>
  </si>
  <si>
    <t>Nadir dos Santos Souza</t>
  </si>
  <si>
    <t>Estância Beira Rio</t>
  </si>
  <si>
    <t>Z9T1JICQ</t>
  </si>
  <si>
    <t>Destruir 17,42há de floresta nativa, da região Amazônica, objeto de especial preservação, no município de Portel, nas Coordenadas uir uma área de Geográfica central Lat. 03°18'40.26"S Long° 50°39'13.24"W, sem  autorização ou licença da autoridade ambiental competente.</t>
  </si>
  <si>
    <t>WYLLIAM GOMES DE SOUZA</t>
  </si>
  <si>
    <t>Vicinal Portel, km 58, Zona Rural Município de Portel/PA</t>
  </si>
  <si>
    <t>ZCIFO3Y3</t>
  </si>
  <si>
    <t>Danificar 120,12 hectares de vegetação nativa Silvestre do bioma Pampa, sem a devida licença ou autorização da autoridade ambiental competente. Área referente ao polígono denominado SFA 28. Auto de Infração lavrado em substituição ao de número 7NX0A660</t>
  </si>
  <si>
    <t>São Francisco de Assis</t>
  </si>
  <si>
    <t>ROSSANDRA DE SALES ALVES PRATES</t>
  </si>
  <si>
    <t>Fazenda Santa Rosa - Vila Kramer</t>
  </si>
  <si>
    <t>53 Decreto 6514/2008.</t>
  </si>
  <si>
    <t>L31JCK2V</t>
  </si>
  <si>
    <t>Destruir 203,45ha de vegetação nativa, objeto de especial preservação (Floresta Amazônica Brasileira), sem autorização ou licença da autoridade ambiental competente.</t>
  </si>
  <si>
    <t>LL82R2C3</t>
  </si>
  <si>
    <t>Obstar a ação do Poder Público no exercício de atividades de fiscalização ambiental.</t>
  </si>
  <si>
    <t>Marcus Vilar Souto Maior</t>
  </si>
  <si>
    <t>Rua Universitário João Roberto Borges de Souza, 80, Camboinha I</t>
  </si>
  <si>
    <t>DES ROTINA IV</t>
  </si>
  <si>
    <t>QL2NIA3Z</t>
  </si>
  <si>
    <t>Fazer uso do fogo em área de 12,82ha sem autorização do órgão ambiental competente.</t>
  </si>
  <si>
    <t>Caxingó</t>
  </si>
  <si>
    <t>Livio Antônio Carvalho de Freitas</t>
  </si>
  <si>
    <t>Queimada</t>
  </si>
  <si>
    <t>Povoado Jacobina</t>
  </si>
  <si>
    <t>58 Decreto 6514; 70 1º Lei 9605; 72 Lei 9605; 3º II Decreto 6514; 3º VII Decreto 6514.</t>
  </si>
  <si>
    <t>5OGVVHMV</t>
  </si>
  <si>
    <t>Destruir 16,8403 hectares de floresta nativa na região amazônica,. objeto de especial preservação, sem licença outorgada pela autoridade competente, no polígono (2018AWS0000036508) de coordenadas centroides Lat. 11° 34, 25,18'' S / Long. 62° 31, 5'88''. W.</t>
  </si>
  <si>
    <t>Robson Montovani</t>
  </si>
  <si>
    <t>linha 102, km 8</t>
  </si>
  <si>
    <t>4ZFS34B4</t>
  </si>
  <si>
    <t>Transportar Madeiras em toras no veículo Scania 112, placa BUU-7145, chassi 9BSTE6X4Z03220088, num total de 34,764m³ de cumarú ferro, 4,172m³ de garapeira, 3,634m³ de Angelin, 4,994m³ de Jatobá, 2,514m³ de Ipê, sem a licença valida ou munir-se da via outorgada pela autoridade competente, que deverá acompanhar o produto até o final do beneficiamento.</t>
  </si>
  <si>
    <t>Feijó</t>
  </si>
  <si>
    <t>Gilberto de Souza</t>
  </si>
  <si>
    <t>lado esquerdo da Br 364 km 16, Feijó/M. Urbano.</t>
  </si>
  <si>
    <t>AC/SUPES</t>
  </si>
  <si>
    <t>6Q997GDP</t>
  </si>
  <si>
    <t>Deixar de atender as condicionantes 1.12 e 2.4 da ABIO n° xxx e das condicionantes 2.3 e 2.8 da ASV n° xxx.</t>
  </si>
  <si>
    <t>VETORIAL MINERACAO S.A</t>
  </si>
  <si>
    <t>66, parágrafo único/ item II 6514/2008.</t>
  </si>
  <si>
    <t>3O56VECF</t>
  </si>
  <si>
    <t>Destruir 52,6246 hectares de floresta nativa no polígono (2018AWS000005072) de centroides Lat. 11° 34' 5.11'' S / Long. 62° 31' 8.14'' W sem autorização da autoridade competente.</t>
  </si>
  <si>
    <t>Rosely Lopes da Silva Barbosa</t>
  </si>
  <si>
    <t>linha. 102</t>
  </si>
  <si>
    <t>X1QOZ5EF</t>
  </si>
  <si>
    <t>COMERCIALIZAR 36 KG DE POLVO, SEM COMPROVANTE DE ORIGEM.</t>
  </si>
  <si>
    <t>Itapipoca</t>
  </si>
  <si>
    <t>EDILSON MATIAS SANTOS</t>
  </si>
  <si>
    <t>APIQUES, ZONA PRAIANA, ITAPIPOCA, CE</t>
  </si>
  <si>
    <t>3º, 35, II, IV DECRETO FEDERAL Nº 6514/08.</t>
  </si>
  <si>
    <t>6S4NZ0EK</t>
  </si>
  <si>
    <t>Explorar (66 m3) de madeira de vegetação nativa (garapeira), localizadas na área da Terra Indígena Zoró, de domínio público, sem aprovação prévia do órgão ambiental competente.
Multa de 300,00 (trezentos reais), por unidade metro cúbico.</t>
  </si>
  <si>
    <t>Rondolândia</t>
  </si>
  <si>
    <t>Deidi Dioni Freire Cunha</t>
  </si>
  <si>
    <t>Terra Indígena Zoró - Zona rural do Município de Rondolândia-MT.</t>
  </si>
  <si>
    <t>EXP CASEUS HELVETICA VI</t>
  </si>
  <si>
    <t>EXP CASEUS HELVETICA I</t>
  </si>
  <si>
    <t>70 § 1 72 Lei 9605/98; 3 II, IV, V 53 Decreto 6514/2008.</t>
  </si>
  <si>
    <t>M5YXCE2P</t>
  </si>
  <si>
    <t>Destruir 28,5682 ha de floresta nativa na Região Amazônica, objeto de especial preservação, sem a licença outorgada pelo órgão ambiental competente, no polígono de coordenadas centrais 11° 32' 34,69" S e 62° 28' 28,73" W, de ID_2019AWS000007894, conforme mapa com análise temporal de imagens anexo.</t>
  </si>
  <si>
    <t>OSVANIR SIMONATO</t>
  </si>
  <si>
    <t>Fazenda Celeiro, linha 110, lote 29, gleba 28</t>
  </si>
  <si>
    <t>E8JQO01B</t>
  </si>
  <si>
    <t>Destruir 31,989 Hectares de floresta nativa na região amazônica, objeto de especial preservação, sem licença outorgada pela autoridade ambiental competente. 
ID 2018AWS000036508.</t>
  </si>
  <si>
    <t>Jose Carlos Mantovani</t>
  </si>
  <si>
    <t>Linha 102 norte, km 8</t>
  </si>
  <si>
    <t>DBDEFPFO</t>
  </si>
  <si>
    <t>Deixar de apresentar informações ambientais junto a ANP nos prazos exigidos pela legislação(relatórios de comercialização de óleo lubrificante - SIMP).</t>
  </si>
  <si>
    <t>CHICAGO PNEUMATIC BRASIL LTDA</t>
  </si>
  <si>
    <t>4UN0IX3W</t>
  </si>
  <si>
    <t>DESTRUIR 306,98 HECTARES, CONSUMADO COM USO DE FOGO, DE FLORESTA NATIVA, NO BIOMA AMAZÔNICO, OBJETO DE ESPECIAL PRESERVAÇÃO, SEM A LICENÇA OUTORGADA PELO ÓRGÃO AMBIENTAL COMPETENTE, NO POLÍGONO DE COORDENADAS CENTRAIS 08°29'53,47'' S E 67°08'08,06" W, DE ID_DES2019AWS000022202 (229, 15 HECTARES) E DO TEI DESCONHECIDO - PROCESSO 02005.001697/2018-59 ( 77,83 HECTARES) CONFORME MAPA COM ANÁLISE TEMPORAL DE IMAGENS ANEXO AO PROCESSO.</t>
  </si>
  <si>
    <t>Pauini</t>
  </si>
  <si>
    <t>LAÉRCIO PEREIRA DA SILVA</t>
  </si>
  <si>
    <t>FAZENDA TERRA SANTA - RAMAL DO BOM LUGAR</t>
  </si>
  <si>
    <t>60, I 6514/2008 .</t>
  </si>
  <si>
    <t>8251BM8D</t>
  </si>
  <si>
    <t>Destruir 57,98ha de vegetação nativa, objeto de especial preservação (Floresta Amazônica Brasileira), nas coordenadas geográficas: 03°07'08,83" S 50°22'31,29"W, ID_DES-2017MDS003721, 03°07'08,83"S 50°21'42,10"W, ID_DES-2017MDS001341, 03°07'35,34"S 50°21'08,26"W, ID_DES-2017AWS009853, sem autorização ou licença da autoridade ambiental competente.</t>
  </si>
  <si>
    <t>Rodovia BR-230 Ramal Lisboa km-125 zona rural Portel-Pa.</t>
  </si>
  <si>
    <t>YOFR3KFR</t>
  </si>
  <si>
    <t>Fazer funcionar estabelecimento (madeireira e serraria), utilizador de recurso ambiental e potencialmente poluidor sem licença do órgão ambiental competente.</t>
  </si>
  <si>
    <t>SÃO JOSÉ COMERCIO DE MADEIRAS EIRELI</t>
  </si>
  <si>
    <t>Madeireira São José- CNPJ: 33.374.039/0001-28</t>
  </si>
  <si>
    <t>66 Decreto 6514/2008.</t>
  </si>
  <si>
    <t>W4OPT1WP</t>
  </si>
  <si>
    <t>Vender 345,0692 m3 de madeira serrada (diversas essências) sem licença outorgada pela autoridade competente.</t>
  </si>
  <si>
    <t>SANTA CLARA MADEIREIRA E SERRARIA LTDA</t>
  </si>
  <si>
    <t>Santa Clara Madeireira e Serraria Ltda - CNPJ: 10.556.387/0001-10. A empresa ficava no mesmo prédio da atual empresa São José Madeira.</t>
  </si>
  <si>
    <t>VDNV1TUK</t>
  </si>
  <si>
    <t>Destruir 34,499 hectares de Floresta Nativa na Fazenda Novo Horizonte São Félix do Xingu PA, objeto de especial preservação, sem Autorização ou Licença da Autoridade Ambiental Competente.</t>
  </si>
  <si>
    <t>MAURO GABRIEL DE SOUZA</t>
  </si>
  <si>
    <t>Fazenda Novo Horizonte  São Félix do Xingu PA</t>
  </si>
  <si>
    <t>VY0ZHD4W</t>
  </si>
  <si>
    <t>Deixar de apresentar informações ambientais junto a ANP nos prazos exigidos pela legislação (relatórios de comercialização de óleo lubrificante - SIMP)</t>
  </si>
  <si>
    <t>INTERLUB BRASIL INDUSTRIA E COMERCIO DE OLEO AUTOMOTIVO LTDA</t>
  </si>
  <si>
    <t>Interlub Brasil Industria e Comercio de Oleo Automotivo LTDA</t>
  </si>
  <si>
    <t>16, - Resolução CONAMA n 362/2005.</t>
  </si>
  <si>
    <t>6EF72G4F</t>
  </si>
  <si>
    <t>Destruir 34,057 hectares de floresta nativa no Sitio Bom Jesus são Félix do Xingu PA objeto de especial preservação sem Licença ou Autorização da Autoridade Ambiental Competente.</t>
  </si>
  <si>
    <t>Isac de souza Almeida</t>
  </si>
  <si>
    <t>Sitio Bom Jesus - São Félix do Xingu PA</t>
  </si>
  <si>
    <t>Y5P7A915</t>
  </si>
  <si>
    <t>SMMTXY9Y</t>
  </si>
  <si>
    <t>DESTRUIR 102,10 HECTARES DE FLORESTA NATIVA, BIOMA AMAZÔNIA, CONSUMADO COM USO DE FOGO, OBJETO DE ESPECIAL PRESERVAÇÃO, SEM A LICENÇA E SEM AUTORIZAÇÃO OUTORGADA PELO ÓRGÃO AMBIENTAL COMPETENTE, NO POLÍGONO DE COORDENADAS. CENTRAIS 08° 34' 35,14'' S e 67° 04' 48,54'' W DO ID_DES2019AWS000047018, CONFORME MAPA COM ANÁLISE TEMPORAL DE IMAGENS ANEXO AO PROCESSO.</t>
  </si>
  <si>
    <t>NILDA DA SILVA LIMA</t>
  </si>
  <si>
    <t>RAMAL DO BOM LUGAR 60 KM DE BOCA DO ACRE MUNICÍPIO DE LABREA - AMAZONAS</t>
  </si>
  <si>
    <t>60, I 6514 .</t>
  </si>
  <si>
    <t>6ZAU13XH</t>
  </si>
  <si>
    <t>Transportar substância tóxica (agrotóxico) perigosa à saúde humana ou ao meio ambiente, em desacordo com as normas e regulamentos vigentes.</t>
  </si>
  <si>
    <t>Evandro Acunha Barbosa</t>
  </si>
  <si>
    <t>UT Uruguaiana Ibama</t>
  </si>
  <si>
    <t>4, Caput Lei 7.802/1989.</t>
  </si>
  <si>
    <t>X92GYKOV</t>
  </si>
  <si>
    <t>Alterar fazendo o uso incorreto do combustível usando diesel S500 quando deveria usar S10, provocando alterações nos limites e exigências ambientais previsto na Legislação, caminhão Mercedes Benz placas ixi-2542.</t>
  </si>
  <si>
    <t>Santa Maria</t>
  </si>
  <si>
    <t>TAZAY TRANSPORTES LTDA - ME</t>
  </si>
  <si>
    <t>Rua Fernando Ferrari Santa Maria Bairro Nossa Senhora de Lurdes RS</t>
  </si>
  <si>
    <t>70 § 1 72 II Lei 9605/98; 3º II 71 Decreto 6514/2008.</t>
  </si>
  <si>
    <t>A8P53AZQ</t>
  </si>
  <si>
    <t>BHWHEZNO</t>
  </si>
  <si>
    <t>D1IJWL51</t>
  </si>
  <si>
    <t>KLUBER LUBRICATION LUBRIFICANTES ESPECIAIS LTDA</t>
  </si>
  <si>
    <t>V8WZTE75</t>
  </si>
  <si>
    <t>UTILIZAR 21 (VINTE E UM) ESPÉCIMES DA FAUNA SILVESTRE NATIVA, EM DESACORDO COM A LICENÇA DA AUTORIDADE COMPETENTE.</t>
  </si>
  <si>
    <t>EDUARDO FERREIRA DE SOUZA</t>
  </si>
  <si>
    <t>RUA DOIS GRANVILLE, 35, BAIRRO RENASCER</t>
  </si>
  <si>
    <t>D9YLNMZK</t>
  </si>
  <si>
    <t>Destruir 45,599 hectares de Floresta Nativa na Fazenda Ipê dos Mutuns, novo Aripuanã-AM, objetivo de Especial Preservação sem Autorização ou Licença da Autoridade Ambiental Competente.</t>
  </si>
  <si>
    <t>Novo Aripuanã</t>
  </si>
  <si>
    <t>LUCAS VIEIRA AUGUSTO DOS SANTOS</t>
  </si>
  <si>
    <t>Fazenda Ipê dos Mutuns, Novo Aripuanã-AM</t>
  </si>
  <si>
    <t>E55VHHXJ</t>
  </si>
  <si>
    <t>Destruir 25,126 hectares de Floresta Nativa na Fazenda Goiás em São Félix do Xingu PA, objeto de especial preservação, sem Autorização ou Licença da Autoridade Ambiental Competente.</t>
  </si>
  <si>
    <t>Arlan de Lima Leite</t>
  </si>
  <si>
    <t>Fazenda Goiás São Félix do Xingu PA</t>
  </si>
  <si>
    <t>PUAXS008</t>
  </si>
  <si>
    <t>Destruir 9,831 hectares de Floresta Nativa na Fazenda Novo Horizonte São Félix do Xingu PA, Objetivo de Especial Preservação, sem Autorização ou Licença da Autoridade Ambiental Competente.</t>
  </si>
  <si>
    <t>ARNALDO VIEIRA PASSARINHO</t>
  </si>
  <si>
    <t>Fazenda Novo Horizonte - São Félix do Xingu PA</t>
  </si>
  <si>
    <t>7WNRM2UJ</t>
  </si>
  <si>
    <t>Pescar mediante a utilização de aparelhos, petrechos,  técnicas e métodos não permitidos.</t>
  </si>
  <si>
    <t>Baía Formosa</t>
  </si>
  <si>
    <t>João Martins Leitão</t>
  </si>
  <si>
    <t>Baia Formosa - RN</t>
  </si>
  <si>
    <t>35 II Decreto 6514; 70 1º Lei 9605; 72 Lei 9605; 3º II Decreto 6514; 3º IV Decreto 6514; 3º IX Decreto 6514.</t>
  </si>
  <si>
    <t>Art. 42, Parágrafo Único Decreto  Federal N. 6.514/2008.</t>
  </si>
  <si>
    <t>P0FX8XSS</t>
  </si>
  <si>
    <t>Praia de Baiqla Formosa-RN</t>
  </si>
  <si>
    <t>PT6A693M</t>
  </si>
  <si>
    <t>Descumprir obrigação prevista no sistema de logística reversa implantado nos termos da Lei 12305/2012, consoante as responsabilidades específicas estabelecidas para o referido sistema: deixar de destinar OLUC referente a meta / ano 2017.</t>
  </si>
  <si>
    <t>EXPERT INDUSTRIAL E COMERCIAL, IMPORTADORA, AGENCIADORA E REPRESENTAÇÕES LTDA.</t>
  </si>
  <si>
    <t>EXPERT INDUSTRIAL. Rua Carlos Pinto Alves n. 35.</t>
  </si>
  <si>
    <t>62, XII Decreto 6514/2008; 33, IV 12305/2012.</t>
  </si>
  <si>
    <t>SFDCFAAO</t>
  </si>
  <si>
    <t>Elaborar informações ambientais totalmente falsas no processo administrativo 02015.001696/2012-08, através de Requerimento 02015.004281/2016-10, de 31/08/2016, referente a soltura de animais constantes da relação de criador amadorista de passeriformes.</t>
  </si>
  <si>
    <t>Contagem</t>
  </si>
  <si>
    <t>MARCELO FERNANDES DOS SANTOS</t>
  </si>
  <si>
    <t>Rua Pinheiro, n° 180, apto. 401 - Arvoredo - Contagem/MG - CEP 32.113-230</t>
  </si>
  <si>
    <t>H504CDFJ</t>
  </si>
  <si>
    <t>Destruir uma área de 65,87há de floresta nativa, objeto de especial preservação (Floresta Amazônica Brasileira) no município de Portel, nas Coordenadas Geográfica centrais Lat. 03°08'06,14"S Long. 50°22'57,79"W, referente ao TEI n° 632745-E de autoria Desconhecida datado de 06/08/2016 (processo 02018.002674/2016-51), sem autorização ou licença da autoridade ambiental competente.</t>
  </si>
  <si>
    <t>Pacajá</t>
  </si>
  <si>
    <t>Vicinal Portel, Ramal da Lisboa km 125 - Zona Rural Município de Portel/PA</t>
  </si>
  <si>
    <t>JYZ1ZO03</t>
  </si>
  <si>
    <t>Descumprir obrigação prevista no sistema de logística reversa implantado nos termos da Lei 12305/2010, consoante as responsabilidades específicas estabelecidas para o referido sistema: deixar de destinar OLUC referente a meta / ano 2018.</t>
  </si>
  <si>
    <t>WHIRLPOOL S/A</t>
  </si>
  <si>
    <t>WHIRLPOOL SA. Avenida Nações Unidas, 12.995.</t>
  </si>
  <si>
    <t>10AOLN2E</t>
  </si>
  <si>
    <t>Descumprir embargo de atividade estabelecido pelo TE N° 613779/C, processo n° 02502.000095/2013-69</t>
  </si>
  <si>
    <t>ANTONIO DE ALMEIDA</t>
  </si>
  <si>
    <t>linha 21, km 12, São Francisco do Guaporé</t>
  </si>
  <si>
    <t>FYNAE4DP</t>
  </si>
  <si>
    <t>Descumprir o embargo na área, objeto do termo de embargo número 614097 série C, lavrado em 08/07/2013, processo 02502.000084/2013-14.</t>
  </si>
  <si>
    <t>EDSON FERREIRA VALENCIO</t>
  </si>
  <si>
    <t>Linha 58 Sul Km 23 Ramal 15, zona rural, São Francisco do Guaporé-RO.</t>
  </si>
  <si>
    <t>DTANXI9V</t>
  </si>
  <si>
    <t>Descumprir embargo estipulado pelo Termo de Embargo n° 61814/C, processo n° 02024.001006/2011-12</t>
  </si>
  <si>
    <t>ALAGONES GONÇALVES FERREIRA</t>
  </si>
  <si>
    <t>Linha 23 A, Lote 10(linha 58)</t>
  </si>
  <si>
    <t>0260S5XO</t>
  </si>
  <si>
    <t>Descumprir embargo de área de 17,42ha parte embargada no TEI n° 585433-E, datado de 28/05/2012 (processo 02018.000748/2012-91). Com implantação de pastagens e gado bovino na atividade de pecuária.</t>
  </si>
  <si>
    <t>JOSUEL DOS SANTOS SACRAMENTO</t>
  </si>
  <si>
    <t>Vicinal Portel, km 58, Zona Rural - Portel/PA</t>
  </si>
  <si>
    <t>AIAFVVS7</t>
  </si>
  <si>
    <t>Destruir uma área de 17,42há de floresta nativa, objeto de especial preservação (Floresta Amazônica Brasileira) no município de Portel, nas Coordenadas Geográfica centrais Lat. 03°18'40.26"S Long. 050°39'13.24"W, sem autorização ou licença da autoridade ambiental competente.</t>
  </si>
  <si>
    <t>Vicinal Portel, km 58, zona rural - Portel/PA</t>
  </si>
  <si>
    <t>94PB709P</t>
  </si>
  <si>
    <t>DOW BRASIL SUDESTE INDUSTRIAL LTDA</t>
  </si>
  <si>
    <t>DOW BRASIL SUDESTE. Avenida Nações Unidas n. 14.171. Andar 4</t>
  </si>
  <si>
    <t>RXMZJ4KD</t>
  </si>
  <si>
    <t>Destruir 8,51 hectares, de floresta nativa sem autorização prévia do órgão ambiental competente. No polígono de ID2019TFP0098A, de coordenadas geográficas S 08°31'25,1'' W 70°03'23,7, os vértices do polígono encontra-se Inseridos no mapa com análise temporal de imagem anexo.</t>
  </si>
  <si>
    <t>ROBERTO CARLOS FERREIRA DOS SANTOS</t>
  </si>
  <si>
    <t>Colônia 4 Irmãos, lado direito da BR 364 km 52, aproximadamente 250m do eixo da estrada. Feijó/M. Urbano.</t>
  </si>
  <si>
    <t>51 Decreto 6514; 70 1º Lei 9605; 72 Lei 9605; 3º II Decreto 6514; 3º VII Decreto 6514.</t>
  </si>
  <si>
    <t>Q9NJS7GM</t>
  </si>
  <si>
    <t>Transportar 36 st(trinta e seis estéreos) de lenha nativa das espécies: umburana, Ângico e Catingueira, sem licença da autoridade competente.</t>
  </si>
  <si>
    <t>Triunfo Potiguar</t>
  </si>
  <si>
    <t>MANOEL BATISTA DANTAS</t>
  </si>
  <si>
    <t>Rodovia BR 226, KM 275, Zona Rural município de Triunfo Potiguar/RN.05</t>
  </si>
  <si>
    <t>MOSSORO/UNID_TEC</t>
  </si>
  <si>
    <t>1JPLVK3G</t>
  </si>
  <si>
    <t>Destruir 10,77 hectares de floresta nativa sem autorização prévia do órgão ambiental competente. No polígono de ID2019TFP0156, de coordenadas geográficas S 08°12'23'' W 70°23'22'', os vértices do polígono encontra-se Inseridos no mapa com análise temporal anexo.</t>
  </si>
  <si>
    <t>Francisco Valcleildo da Silva e Silva</t>
  </si>
  <si>
    <t>Colônia São José, lado esquerdo da BR 364 km 1, Feijó/Tarauaca, ramal maravilha km 03, Seringal Benfica.</t>
  </si>
  <si>
    <t>YVGH2Q45</t>
  </si>
  <si>
    <t>Impedir a regeneração natural de área de 25,55ha de vegetação nativa na área embargada indicada pela autoridade competente no TEI-37406-E, datado de 18/08/2016 (Processo 02018.002671/2016-17).</t>
  </si>
  <si>
    <t>Anapu</t>
  </si>
  <si>
    <t>COSME GOMES MACEDO</t>
  </si>
  <si>
    <t>Rodovia BR-230 vicinal 125 km-01 Sítio São Luiz zona rural Anapu-Pa.</t>
  </si>
  <si>
    <t>48 § único Decreto 6514/2008.</t>
  </si>
  <si>
    <t>LI6I23Q1</t>
  </si>
  <si>
    <t>Descumprir Embargo de área de 25,55 ha, embargada no TEI-37406-E, datado 18/08/2016 (Processo  02018.002671/2016-17), com implantação de pastagem e gado na atividade pecuária.</t>
  </si>
  <si>
    <t>Rodovia BR-230 Vicinal 125 km-01 Sítio São Luís zona rural Anapu-Pa.</t>
  </si>
  <si>
    <t>E48XSAZP</t>
  </si>
  <si>
    <t>Manaus</t>
  </si>
  <si>
    <t>YAMAHA MOTOR DA AMAZÔNIA LTDA</t>
  </si>
  <si>
    <t>Rua Rio Jaguarão n. 1842</t>
  </si>
  <si>
    <t>62, XII Decreto 6514/2008; 33, IV Lei 12305/2010.</t>
  </si>
  <si>
    <t>242IGTSX</t>
  </si>
  <si>
    <t>Descumprir obrigação prevista no sistema de logística reversa implantado nos termos da Lei 12305/2010, consoante as responsabilidades específicas estabelecidas para o referido sistema: deixar de destinar OLUC referente a meta/ano 2018.</t>
  </si>
  <si>
    <t>YAMAHA MOTOR DO BRASIL LTDA</t>
  </si>
  <si>
    <t>Rodovia Presidente Dutra km 214, CX.P. 298, Cumbica, Guarulhos-SP.</t>
  </si>
  <si>
    <t>ISDZQLG0</t>
  </si>
  <si>
    <t>7PT3A0N3</t>
  </si>
  <si>
    <t>Impedir a regeneração natural de área de 17,42ha de vegetação nativa na área embargada indicada pela autoridade competente no TEI n° 585433-E, datado de 28/05/2012 (processo 02018.000748/2012-91.</t>
  </si>
  <si>
    <t>SSA52C2I</t>
  </si>
  <si>
    <t>FUNCIONAR CRIADOURO COMERCIAL DE FAUNA SILVESTRE EM DESACORDO COM A AUTORIZAÇÃO DO ÓRGÃO COMPETENTE (REPRODUÇÃO DE ESPÉCIES NÃO INCLUÍDAS NO PLANTEL; NÃO ATUALIZA¿ÃO DO SIISFAUNA).</t>
  </si>
  <si>
    <t>JIBOIAS BRASIL LTDA - ME</t>
  </si>
  <si>
    <t>CRIADOURO JIBOIAS BRASIL</t>
  </si>
  <si>
    <t>SISF MEDUSA</t>
  </si>
  <si>
    <t>2GDC2V2J</t>
  </si>
  <si>
    <t>Deixar aquele que tem obrigação, de dar destinação ambientalmente adequada a embalagems de agrotóxico quando assim determinar a lei.</t>
  </si>
  <si>
    <t>Mineiros</t>
  </si>
  <si>
    <t>Nilton Ovidio de Rezende</t>
  </si>
  <si>
    <t>Fazenda Flores SN Zona Rural</t>
  </si>
  <si>
    <t>53, caput 4047/2002.</t>
  </si>
  <si>
    <t>OYX13DJ6</t>
  </si>
  <si>
    <t>Destruir uma área de 40,56há de floresta nativa, objeto de especial preservação (Floresta Amazônica Brasileira) no município de Portel, nas Coordenadas Geográfica centrais Lat. 03°18'46.47"S Long. 50°39'37.32"W e Lat. 03°18'30.06"S Long. 050°39'41.40"W, sem  autorização ou licença da autoridade ambiental competente.</t>
  </si>
  <si>
    <t>Área sem denominação, vicinal Portel, km 58, zona rural, Portel/PA</t>
  </si>
  <si>
    <t>DKXXOG3P</t>
  </si>
  <si>
    <t>LZ6AV8PK</t>
  </si>
  <si>
    <t>Deixar de apresentar informações ambientais no prazo determinado pela autoridade ambiental, conforme descrição do Ofício n. xxx.</t>
  </si>
  <si>
    <t>SHIPFROMBRAZIL.COM COMÉRCIO, IMPORTAÇÕES E EXPORTAÇÕES LTDA</t>
  </si>
  <si>
    <t>Aeroporto Internacional de Viracopos</t>
  </si>
  <si>
    <t>HTZXKO55</t>
  </si>
  <si>
    <t>Embu</t>
  </si>
  <si>
    <t>ITW CHEMICAL PRODUCTS LTDA</t>
  </si>
  <si>
    <t>1Y99K495</t>
  </si>
  <si>
    <t>Destruir 108,6851 Hectares de floresta nativa na região amazônica,.  objeto de especial preservação, sem licença outorgada pela autoridade competente, no polígono ( 2018AWS0000026/33)  de coordenadas. centroide Lat. 11 ° 28' 11,67'' S /  62° 12' 48,07'' W.</t>
  </si>
  <si>
    <t>JEYSON MARCUS ARAUJO MIRANDA</t>
  </si>
  <si>
    <t>linha 138, km 17, fazenda natal</t>
  </si>
  <si>
    <t>M8ITAQ5I</t>
  </si>
  <si>
    <t>NILTON OVIDIO DE REZENDE</t>
  </si>
  <si>
    <t>Fazenda Flores</t>
  </si>
  <si>
    <t>57, . 4074/2002
.</t>
  </si>
  <si>
    <t>8I7U4MPD</t>
  </si>
  <si>
    <t>Abandonar carga (AWB 01413171580) contendo produto perigoso (UN 1760-Classe 8, Corrosivo) no Aeroporto Internacional de Viracopos-SP.</t>
  </si>
  <si>
    <t>BAKER HUGHES DO BRASIL LTDA</t>
  </si>
  <si>
    <t>Aeroporto Internacional de Viracopos-SP. Terminal de cargas.</t>
  </si>
  <si>
    <t>64 1º Decreto 6514; 70 1º Lei 9605; 72 Lei 9605; 3º II Decreto 6514.</t>
  </si>
  <si>
    <t>SYI4R347</t>
  </si>
  <si>
    <t>Destruir 16,178 Hectares de floresta, objeto de especial preservação, sem autorização da autoridade ambiental competente.</t>
  </si>
  <si>
    <t>Anezio Galdino</t>
  </si>
  <si>
    <t>Linha 102 KM 3,5</t>
  </si>
  <si>
    <t>2GDYI30D</t>
  </si>
  <si>
    <t>Comercializar pescados da espécie Pescada-Gó, Macrodon ancylodon, sem comprovante de origem.</t>
  </si>
  <si>
    <t>Armando José Pereira Rodrigues</t>
  </si>
  <si>
    <t>Estrada do Outeiro, passagem dos Inocentes, margem do Rio Maguari. Belém-PA.</t>
  </si>
  <si>
    <t>P0D91VFJ</t>
  </si>
  <si>
    <t>DESTRUIR 41,17 HECTARES DE FLORESTA NATIVA, OBJETO DE ESPECIAL DEPRESERVAÇÃO NA AMAZÔNIA LEGAL, SEM LICENÇA DA AUTORIDADE AMBIENTAL COMPETENTE. NO ID 25, CONFORME MAPA COM ANÁLISE TEMPORAL DE IMAGEM.</t>
  </si>
  <si>
    <t>CLAUDIA KUSS</t>
  </si>
  <si>
    <t>ESTRADA NOVA INTEGRAÇÃO, ASSENTAMENTO JAPURANA, ZONA RURAL DO MUNICÍPIO NOVA BANDEIRANTES-MT REFERENTE AO ID 25.</t>
  </si>
  <si>
    <t>STHYWA59</t>
  </si>
  <si>
    <t>Fazer funcionar atividade (cerâmica) utilizadora de recursos ambientais, efetivamente poluidora, sem licença do órgão ambiental competente.</t>
  </si>
  <si>
    <t>Jaicós</t>
  </si>
  <si>
    <t>F. J. COELHO LIMA CERAMICA ME</t>
  </si>
  <si>
    <t>Cerâmica NOVACER</t>
  </si>
  <si>
    <t>EBCH53PT</t>
  </si>
  <si>
    <t>Interglass do Brasil Lubrificantes Ltda.</t>
  </si>
  <si>
    <t>3BRSX3C5</t>
  </si>
  <si>
    <t>4Y8VVPYF</t>
  </si>
  <si>
    <t>Armazenar produto tóxico a saúde humana (agrotóxico) e perigoso ao meio ambiente, em desacordo com as experiências estabelecidas em lei ou em seus regulamentos.</t>
  </si>
  <si>
    <t>Sávio Guimarães Barbosa</t>
  </si>
  <si>
    <t>Fazenda Cristalina, município de Mineiros-GO.</t>
  </si>
  <si>
    <t>57, - Decreto 4074/2002.</t>
  </si>
  <si>
    <t>A8MAS89Q</t>
  </si>
  <si>
    <t>Destruir 243,08 há de floresta nativa no Bioma Amazônico, cominado com o uso de fogo, objeto de especial preservação, sem licença outorgada pelo órgão ambiental competente, no polígono de coordenadas central 08°31'54'01" S e 67°07'52,42" W, de ID-DED-2019AWS000014646 com área de 85,66 há e do TEI 793574-E com área de 158,4172(Processo 02005.001692/2018-26, conforme mapa com análise temporal de imagens anexo ao processo.</t>
  </si>
  <si>
    <t>MARCIA BARBOSA DA SILVA</t>
  </si>
  <si>
    <t>Sítio Botina, Sn - Zona rural, Ramal Bom Lugar, Km 60</t>
  </si>
  <si>
    <t>70 § 1 Lei 9605/98; 72 Lei 9605/98; 3 II, VII Decreto 6514/2008.</t>
  </si>
  <si>
    <t>60, I 6.514/08.</t>
  </si>
  <si>
    <t>YOP4APCK</t>
  </si>
  <si>
    <t>Ter em Cativeiro 5 Pássaros da Fauna Silvestre Brasileira sem Licença ou Autorização da Autoridade Ambiental Competente.</t>
  </si>
  <si>
    <t>Jilmar Xavier de souza</t>
  </si>
  <si>
    <t>Condomínio Casa  Colonial Conjunto C, Casa 69A</t>
  </si>
  <si>
    <t>EMB ROTINA</t>
  </si>
  <si>
    <t>24 3º I Decreto 6514; 24 3º III Decreto 6514; 70 1º Lei 9605; 72 Lei 9605; 3º II Decreto 6514.</t>
  </si>
  <si>
    <t>5WOB9V6U</t>
  </si>
  <si>
    <t>Ter em Cativeiro 4 (quarto) pássaros da Fauna Silvestre Brasileira sem Licença ou Autorização da Autoridade Ambiental Competente.</t>
  </si>
  <si>
    <t>Luís Carlos Sousa Corrêia</t>
  </si>
  <si>
    <t>Condomínio Uberaba Conjunto C lote 14 Sobradinho</t>
  </si>
  <si>
    <t>NGUGX8M2</t>
  </si>
  <si>
    <t>HI9ADT01</t>
  </si>
  <si>
    <t>Ter em Cativeiro  9 (nove) pássaros da Fauna Silvestre Brasileira sem Licença ou Autorização da autoridade ambiental competente.</t>
  </si>
  <si>
    <t>José Luís Sousa Correia</t>
  </si>
  <si>
    <t>Condomínio Uberaba Conjunto C lote 14</t>
  </si>
  <si>
    <t>24 I Decreto 6514; 24 III Decreto 6514; 70 1º Lei 9605; 72 Lei 9605; 3º II Decreto 6514.</t>
  </si>
  <si>
    <t>9H3I3K9X</t>
  </si>
  <si>
    <t>Transportar 150 kgs de pescado gelado da espécie popularmente conhecida como Pirarucu, sem comprovante de origem do órgão competente.</t>
  </si>
  <si>
    <t>Plínio das Neves Lira</t>
  </si>
  <si>
    <t>Rio Furo do Mazagão, Zona Rural do Município de Mazagão Novo.</t>
  </si>
  <si>
    <t>6N6PECDU</t>
  </si>
  <si>
    <t>Portelândia</t>
  </si>
  <si>
    <t>INORIO AFONSO DIERINGS</t>
  </si>
  <si>
    <t>Fazenda Flores / Boa esperança</t>
  </si>
  <si>
    <t>53, 57, 1º, - 4074/2002.</t>
  </si>
  <si>
    <t>5WNWZRW0</t>
  </si>
  <si>
    <t>Alexandre Aparecido Da Cunha Importadora EPP</t>
  </si>
  <si>
    <t>62, XII Decreto 6514/2008; 33, IV Lei 12.305/2005.</t>
  </si>
  <si>
    <t>ICO9F27J</t>
  </si>
  <si>
    <t>Destruir 152, 54 hectares de Floresta Nativa no Bioma Amazônico, objeto de especial preservação, cominado com uso de fogo, sem a licença outorgada pelo órgão ambiental competente, no polígono de coordenadas centrais 08° 35' 34,27" S e 67° 03' 45,76" W, de ID_DES_2019AWS000010253, conforme mapa com análise temporal de imagens anexo ao processo.</t>
  </si>
  <si>
    <t>LINDOLFO COELHO DOS SANTOS</t>
  </si>
  <si>
    <t>Colônia Bela Vista, Ramal Bom Lugar</t>
  </si>
  <si>
    <t>RU0WTO0B</t>
  </si>
  <si>
    <t>Destruir 22,47 hectares de vegetação nativa, objeto de especial preservação (Floresta Amazônica Brasileira), sem autorização ou licença da autoridade ambiental competente (ID-DES-2019AWS000025195).</t>
  </si>
  <si>
    <t>LUIZ VANDERLEY NEITZEL</t>
  </si>
  <si>
    <t>BR 230, Vicinal Portel, Ramal da Vila Balbinote, Km 105 - Zona Rural, Município de Portel/PA</t>
  </si>
  <si>
    <t>4LLITLLY</t>
  </si>
  <si>
    <t>Descumprir embargo estabelecido pelo Termo de Embargo n° 470831/C, processo n° 02502.000265/2009-29.</t>
  </si>
  <si>
    <t>WELSON CARLOS DE SOUZA</t>
  </si>
  <si>
    <t>Setor S. dos Reis. Rodovia Mario Nonato, Lh Biriba, Km 03</t>
  </si>
  <si>
    <t>FWJHFWWP</t>
  </si>
  <si>
    <t>Exercer a pesca sem a prévia permissão (CRAEP da embarcação pesqueira vencido em 31MAR17, com protocolo de 11JUL19) do órgão competente, com a embarcação CAPITÃO TROVÃO, inscrição MB 4610067811, RGP RS00141541, na costa do Estado do Rio Grande do Sul.</t>
  </si>
  <si>
    <t>Anne da Cunha Pereira</t>
  </si>
  <si>
    <t>Zona costeira do RS</t>
  </si>
  <si>
    <t>NEREIDA</t>
  </si>
  <si>
    <t>37 Decreto 6514; 70 1º Lei 9605; 72 Lei 9605; 3º II Decreto 6514; 3º IX Decreto 6514.</t>
  </si>
  <si>
    <t>ITLDBJJY</t>
  </si>
  <si>
    <t>Pescar mediante a utilização de explosivos, meio proibido, com a embarcação CAPITÃO TROVÃO, inscrição MB n. 4610067811, RGP RS0014154-1, AB 19, na costa do Estado do Rio Grande do Sul.</t>
  </si>
  <si>
    <t>36 Decreto 6514; 70 1º Lei 9605; 72 Lei 9605; 3º II Decreto 6514.</t>
  </si>
  <si>
    <t>CGNDRA6C</t>
  </si>
  <si>
    <t>Exercer a pesca sem a prévia permissão (certificado de registro e autorização de embarcação pesqueira vencido em 31 março de 2017, com protocolo em 11 de julho de 2019, portanto intempestivo) do órgão competente, com a Embarcação Capitão Trovão, inscrição na Marinha do Brasil 46100678-11, RGP RS 0014154-1, comprimento 14m, AB 19,00, na costa do RS (Santa Vitória do Palmar), coordenada de referência S32° 51' 29,00" e E 052° 28' 27,00"</t>
  </si>
  <si>
    <t>CLAUDIO FERNANDO DA CUNHA PEREIRA</t>
  </si>
  <si>
    <t>alto-mar, ao largo do ESEC Taim</t>
  </si>
  <si>
    <t>BH64QTZO</t>
  </si>
  <si>
    <t>Pescar com petrecho proibido, rede de emalhe anilhados, com a embarcação CAPITÃO TROVÃO, inscrição MB n. 4610067811, RGP RS00141541, AB 19, na zona costeira do Estado do Rio Grande do Sul.</t>
  </si>
  <si>
    <t>Anne Da Cunha Pereira</t>
  </si>
  <si>
    <t>1, - INI MPA/MMA 12/2012.</t>
  </si>
  <si>
    <t>H2J0KMCJ</t>
  </si>
  <si>
    <t>Pescar mediante a utilização de explosivos, meio proibido, com a Embarcação Capitão Trovão, inscrição na Marinha do Brasil 46100678-11, RGP RS 0014154-1, comprimento 14m, AB 19,00, na costa do RS (Santa Vitória do Palmar), coordenada de referência S32° 51' 29,00" e E 052° 28' 27,00"</t>
  </si>
  <si>
    <t>Alto-mar, ao largo da ESEC Taim</t>
  </si>
  <si>
    <t>36 Decreto 6514/2008.</t>
  </si>
  <si>
    <t>SWUW2N6I</t>
  </si>
  <si>
    <t>Pescar com a Embarcação Capitão Trovão, inscrição na Marinha do Brasil 46100678-11, RGP RS 0014154-1, comprimento 14m, AB 19,00, em local proibido, a menos de 1 MN da costa do RS (Santa Vitória do Palmar), coordenada de referência S32° 51' 29,00" e E 052° 28' 27,00"</t>
  </si>
  <si>
    <t>6, - IN 12/2013.</t>
  </si>
  <si>
    <t>360FU2UH</t>
  </si>
  <si>
    <t>Pescar com petrecho proibido, rede de emalhe anilhada, com a Embarcação Capitão Trovão, inscrição na Marinha do Brasil 46100678-11, RGP RS 0014154-1, comprimento 14m, AB 19,00, na costa do RS (Santa Vitória do Palmar), coordenada de referência S32° 51' 29,00" e E 052° 28' 27,00"</t>
  </si>
  <si>
    <t>35 Inc. 2 Decreto 6514/2008.</t>
  </si>
  <si>
    <t>1376NGT4</t>
  </si>
  <si>
    <t>Obstar a ação do Poder Público no exercício de atividades de fiscalização ambiental ao lançar o petrecho proibido (rede de emalhe anilhada) na água e recusar-se a recolhe-la, com a Embarcação Capitão Trovão, inscrição na Marinha do Brasil 46100678-11, RGP RS 0014154-1, comprimento 14m, AB 19,00, na costa do RS (Santa Vitória do Palmar), coordenada de referência S32° 51' 29,00" e E 052° 28' 27,00"</t>
  </si>
  <si>
    <t>VF2F3RZN</t>
  </si>
  <si>
    <t>Pescar com a embarcação CAPITÃO TROVÃO, inscrição na MB n. 4610067811, RGP RS00141541, comprimento 14 metros, AB 19, em local proibido, a menos de 1 milha náutica da costa do RS.</t>
  </si>
  <si>
    <t>Anne Da Cunha Ferreira</t>
  </si>
  <si>
    <t>zona costeira do Rio Grande do Sul.</t>
  </si>
  <si>
    <t>6, - IN MPA/MMA 12/2012
.</t>
  </si>
  <si>
    <t>WZTME599</t>
  </si>
  <si>
    <t>Pescar espécies que devam ser preservadas. com tamanhos inferiores aos permitidos.</t>
  </si>
  <si>
    <t>Rio do Fogo</t>
  </si>
  <si>
    <t>Elenildo Martins Pimentel</t>
  </si>
  <si>
    <t>Rua dezessete de setembro, 18-A bairro centro/ área urbana Rio do Fogo/ RN CEP 59.758000</t>
  </si>
  <si>
    <t>35 Inc. 1 Decreto 6514/2008.</t>
  </si>
  <si>
    <t>1°, IN 138/2006 Decreto Federal 6.514/08.</t>
  </si>
  <si>
    <t>C7AZB2I8</t>
  </si>
  <si>
    <t>Transportar 38,415 m³ de madeira beneficiada da espécie maçaranduba em desacordo com a licença outorgada pela autoridade competente (guia florestal GF3 n°. 615) no caminhão placa JPW 9754 / DBT 2316.</t>
  </si>
  <si>
    <t>SIMONE SOUZA MORAES</t>
  </si>
  <si>
    <t>Rodovia Transamazônica (BR 230), Km 325, Vila Bom Jardim.</t>
  </si>
  <si>
    <t>6BX1W6IP</t>
  </si>
  <si>
    <t>transporte de 380 kg de pescado gelado sem comprovante de origem.</t>
  </si>
  <si>
    <t>Cláudio Bosco Abreu Dias</t>
  </si>
  <si>
    <t>Foz do Rio jari-municipio de vitória do JARI.</t>
  </si>
  <si>
    <t>8ECX0994</t>
  </si>
  <si>
    <t>Descumprir obrigação prevista no sistema de logística reversa implantado nos termos da Lei 12305/2010, consoante as responsabilidades específicas estabelecidas para o referido sistema: deixar de destinar OLUC referente a meta/ano 2017.</t>
  </si>
  <si>
    <t>ETERNAL IND. COM. SERV. E TRAT. RESÍDUOS DA AMAZÔNIA LTDA</t>
  </si>
  <si>
    <t>Rua Guiana Francesa n. 1, Estrada do Aleixo KM 12</t>
  </si>
  <si>
    <t>RTZM2G4J</t>
  </si>
  <si>
    <t>DNOW BRASIL DISTRIBUIÇÃO DE PRODUTOS INDUSTRIAIS LTDA</t>
  </si>
  <si>
    <t>DNOW. Rua Purificação (Loteamento PRQ TUBOS) S/N</t>
  </si>
  <si>
    <t>7ZG4ENE2</t>
  </si>
  <si>
    <t>DF/SUPES</t>
  </si>
  <si>
    <t>DANFOSS DO BRASIL IND. E COM LTDA.</t>
  </si>
  <si>
    <t>Rua Américo Vespúcio n. 85.</t>
  </si>
  <si>
    <t>72 § 1 72 II Lei 9605/98; 3 II 62 XII Decreto 6514/2008.</t>
  </si>
  <si>
    <t>CKJPR1DM</t>
  </si>
  <si>
    <t>CHEMICAL SPECIALTIES INDÚSTRIA E COMÉRCIO LTDA</t>
  </si>
  <si>
    <t>Avenida Almirante Lobo n.1332</t>
  </si>
  <si>
    <t>KZPMKMII</t>
  </si>
  <si>
    <t>Rodovia Luiz de Queiroz KM 157</t>
  </si>
  <si>
    <t>EMERGÊNCIA AMBIENTAL</t>
  </si>
  <si>
    <t>70 § 1 72 II Lei 9605/98; 3 62 Decreto 6514/2008.</t>
  </si>
  <si>
    <t>BTG1Y2TL</t>
  </si>
  <si>
    <t>Utilizar três espécimes da fauna nativa, sendo uma sucuri, um jacaré tinha e uma preguiça prendendo-os para tirar fotos com os turistas.</t>
  </si>
  <si>
    <t>Alcimar Oliveira de Almeida</t>
  </si>
  <si>
    <t>lago Janauarí</t>
  </si>
  <si>
    <t>TASW FEIR@ VIRTUAL</t>
  </si>
  <si>
    <t>24 II Decreto 6514; 24 III Decreto 6514; 70 1º Lei 9605; 72 Lei 9605; 3º II Decreto 6514; 3º IV Decreto 6514.</t>
  </si>
  <si>
    <t>DY006WFF</t>
  </si>
  <si>
    <t>CASTRO BRASIL LTDA</t>
  </si>
  <si>
    <t>CASTROL. Avenida das Américas n. 3434, Bloco 7, Salas 301 a 308.</t>
  </si>
  <si>
    <t>62, XII DECRETO 6514/2008; 33, IV LEI 12305/2010.</t>
  </si>
  <si>
    <t>CSQYLVH5</t>
  </si>
  <si>
    <t>Utilizar um jacaré prendendi-o para fazer fotos com turistas, no lago Janauarí, sem autorização da autoridade competente.</t>
  </si>
  <si>
    <t>Antonio Ramos dos Santos</t>
  </si>
  <si>
    <t>lago januari</t>
  </si>
  <si>
    <t>6U1U2MHJ</t>
  </si>
  <si>
    <t>Desmatar, 20,112 Hectares de floresta de vegetação nativa objeto de especial preservação (Amazônia Brasileira), sem autorização do órgão ambiental competente.
Conforme carta imagem anexa ao processo.
ID. n°: 2019AWS000008037.</t>
  </si>
  <si>
    <t>UEVERTON ALVES DA SILVA</t>
  </si>
  <si>
    <t>Linha 110,km 06, fundo linha 31</t>
  </si>
  <si>
    <t>225, 4° Constituição federal 88.</t>
  </si>
  <si>
    <t>6VJLSAKJ</t>
  </si>
  <si>
    <t>Dificultar a ação  do poder público no exercício de atividade de fiscalização ambiental ao retirar 90 toras de 11 espécies diferentes e 22,736 m³ de madeira serrada da espécie Manilkara spp do pátio da empresa N. J. de Oliveira Neto Eireli EPP e escondê-las em meio ao capim no pátio da empresa Madeireira Roraima, que está desativada, no intuito de que as mesmas não fossem apreendidas pela equipe de fiscalização por não  estarem acobertadas por créditos no sistema DOF.</t>
  </si>
  <si>
    <t>Luiz Alex Andrade Damascena</t>
  </si>
  <si>
    <t>Superintendência da Polícia Federal em Boa Vista RR</t>
  </si>
  <si>
    <t>5FIHWTPM</t>
  </si>
  <si>
    <t>Transportar 24,595 m3 de madeiras serradas, sem licença válida (DOF), outorgada pela autoridade competente.</t>
  </si>
  <si>
    <t>Porangatu</t>
  </si>
  <si>
    <t>Sebastião Gonçalves da Silva</t>
  </si>
  <si>
    <t>BR 153 - Posto da Polícia Rodoviária Federal em Porangatu-GO.</t>
  </si>
  <si>
    <t>TRAN ROTINA XI</t>
  </si>
  <si>
    <t>FFJ2H3L7</t>
  </si>
  <si>
    <t>Descumprir embargo de atividade, TEI n° 618908, processo n° 02024.001291/2012-52</t>
  </si>
  <si>
    <t>ROGENILDO CORREIA DOS SANTOS</t>
  </si>
  <si>
    <t>Linha 01, km 05</t>
  </si>
  <si>
    <t>2CWWN1BG</t>
  </si>
  <si>
    <t>Transportar 30,744 m3 de madeiras serradas, sem licença válida (DOF), outorgada pela autoridade competente.</t>
  </si>
  <si>
    <t>C0K1RQ2B</t>
  </si>
  <si>
    <t>Descumprir Embargo referente ao AI n°554743-D e TEI n°467665-D. em dano continuado de 20ha.</t>
  </si>
  <si>
    <t>ERNANDO SANTOS MARTINS</t>
  </si>
  <si>
    <t>5HJZLD2G</t>
  </si>
  <si>
    <t>BRASTEMA TECNOLOGIA TÊXTIL</t>
  </si>
  <si>
    <t>BRASTEMA TECNOLOGIA TEXTIL</t>
  </si>
  <si>
    <t>62, XII Decreto 6514/2008; 33, IV Lei 10305/2010.</t>
  </si>
  <si>
    <t>17ATF5AJ</t>
  </si>
  <si>
    <t>Descumprir embargo referente ao TEI n° 471084/C, processo n° 02024.001912/2010-36</t>
  </si>
  <si>
    <t>Fazenda Taquari</t>
  </si>
  <si>
    <t>5218PK3K</t>
  </si>
  <si>
    <t>Ter em depósito 140,112 metros cúbicos de madeiras, sendo: 117,376 metros cúbicos de madeiras em toras e 22,736 metros cúbicos de madeiras serradas, sem autorização do órgão ambiental competente.
Observo que o responsável pela empresa ao saber que haveria fiscalização na empresa, retirou do pátio da mesma 90 toras de madeiras de espécies nativas  de 11 (onze) espécies diferentes e 22,736 metros cúbicos de madeiras serradas da espécie Manilkra huberi, as quais não tem origem comprovada, fez isso objetivando evitar que as madeiras fossem apreendidas.</t>
  </si>
  <si>
    <t>N. J. DE OLIVEIRA NETO EIRELLI - EPP</t>
  </si>
  <si>
    <t>Pátio da Empresa Roraima</t>
  </si>
  <si>
    <t>JFRDE80P</t>
  </si>
  <si>
    <t>Utilizar uma preguiça, uma jacaré e uma sucuri em atividade turística no lago Janauari município de Iranduba-AM sem autorização da autoridade ambiental competente.</t>
  </si>
  <si>
    <t>Iranduba</t>
  </si>
  <si>
    <t>Max Soares dos Santos</t>
  </si>
  <si>
    <t>Lago Janauari</t>
  </si>
  <si>
    <t>92TQLOWK</t>
  </si>
  <si>
    <t>Destruir 7,1692 hectares de floresta nativa na região amazônica, objeto de especial preservação, sem licença outorgada pela autoridade ambiental competente, no polígono de coordenadas centrais Lat 11° 38' 34''  S Long 62° 31' 32''W, conforme mapa com análise temporal de imagens anexo.</t>
  </si>
  <si>
    <t>Manoel Aparecido Caju</t>
  </si>
  <si>
    <t>Sítio São José, Setor São Miguel subgleba 08 lote 37, São Miguel do Guaporé-RO.</t>
  </si>
  <si>
    <t>89O264F3</t>
  </si>
  <si>
    <t>Destruir 19,0498 há de floresta nativa na Região Amazônica, objeto de especial preservação, sem a licença outorgada pelo órgão ambiental competente, no polígono de coordenadas centrais 11 32 57,8 S e 62 24 45,91 W, de ID 2017LC8000006815, conforme mapa com análise temporal de imagens anexo.</t>
  </si>
  <si>
    <t>CLARICE REIMERS LAGO</t>
  </si>
  <si>
    <t>Lote 35, gleba 26, linha 106 - 114</t>
  </si>
  <si>
    <t>OWYFY4FZ</t>
  </si>
  <si>
    <t>Utilizar uma sucuri em atividade turística no lago Janauari, município de Iranduba-AM, sem autorização do órgão ambiental competente.</t>
  </si>
  <si>
    <t>Leandro Ramos dos Santos</t>
  </si>
  <si>
    <t>S17JKWUB</t>
  </si>
  <si>
    <t>Utilizar duas preguiças em atividade turística no lago Janauari, município de Iranduba-AM, sem autorização do órgão ambiental competente.</t>
  </si>
  <si>
    <t>Fabio Ramos dos Santos</t>
  </si>
  <si>
    <t>EYNYDUBN</t>
  </si>
  <si>
    <t>Utilizar uma preguiça e um jacaré, em atividade de exposição turística, no lago Janauari, município de Iranduba-AM, sem autorização da autoridade ambiental competente.</t>
  </si>
  <si>
    <t>Djavan Ramos dos Santos</t>
  </si>
  <si>
    <t>943U381A</t>
  </si>
  <si>
    <t>Transportar 36,892 m3 de madeiras serradas (vigas e vigotas), sem licença válida (DOF), outorgada pela autoridade competente.</t>
  </si>
  <si>
    <t>WH255NP1</t>
  </si>
  <si>
    <t>pescar mediante utilização de petrechos proibido (com instalação de base para compressor de mergulho)  através da embarcação de nome Monte horeb, inscrição Marinha do Brasil 201021761-6.</t>
  </si>
  <si>
    <t>Baía da Traição</t>
  </si>
  <si>
    <t>jose carlos souza da silva</t>
  </si>
  <si>
    <t>prainha</t>
  </si>
  <si>
    <t>9, p  unico IN IBAMA 138/2006.</t>
  </si>
  <si>
    <t>RTTCBCGM</t>
  </si>
  <si>
    <t>Descumprir embargo referente TE. 618765-C referente ao AI. 702217- D, do processo número.02024.001285/2012-03. em dano continuado.</t>
  </si>
  <si>
    <t>Domingos Pereira da Silva</t>
  </si>
  <si>
    <t>Linha- 01 Lote- 131. Zona Rural de Costa Marques</t>
  </si>
  <si>
    <t>79 Decreto 6514; 70 1º Lei 9605; 72 Lei 9605; 3º II Decreto 6514; 3º VII Decreto 6514.</t>
  </si>
  <si>
    <t>QSF07O18</t>
  </si>
  <si>
    <t>Exercer a pesca sem Autorização de Pesca do Orgão Competente,. através da embarcação "MONTE HOREBE-I".
Inscrição N°.PB-0020625-0</t>
  </si>
  <si>
    <t>José Carlos Souza da Silva</t>
  </si>
  <si>
    <t>Porto Pesqueiro de Baía da Trai¿ão/PB. (Prainha)</t>
  </si>
  <si>
    <t>37 § único Decreto 6514/2008.</t>
  </si>
  <si>
    <t>KIMTK0OE</t>
  </si>
  <si>
    <t>Matar 56 espécime da fauna silvestre brasileira ( 55 preá - Cavia aperea e um tamanduá mirim -Tamanduá tetradactyla), sem autorização da autoridade ambiental competente.</t>
  </si>
  <si>
    <t>Canindé de São Francisco</t>
  </si>
  <si>
    <t>Josivaldo da Silva</t>
  </si>
  <si>
    <t>Reservatório da Barragem de Xingó</t>
  </si>
  <si>
    <t>DEF CARRANCA II</t>
  </si>
  <si>
    <t>24 I Decreto 6514; 70 1º Lei 9605; 72 Lei 9605; 3º II Decreto 6514; 3º IV Decreto 6514; 3º V Decreto 6514.</t>
  </si>
  <si>
    <t>DHI8NG3B</t>
  </si>
  <si>
    <t>pescar 6 kg de curvina em período na qual a pesca seja proibida ( período de defeso).</t>
  </si>
  <si>
    <t>lago da barragem de Xingó</t>
  </si>
  <si>
    <t>35 Decreto 6514; 70 1º Lei 9605; 72 Lei 9605; 3º II Decreto 6514; 3º IV Decreto 6514; 3º V Decreto 6514.</t>
  </si>
  <si>
    <t>artigo, 1 Portaria IBAMA 50 de 2007.</t>
  </si>
  <si>
    <t>TJHREC4S</t>
  </si>
  <si>
    <t>Descumprir obrigação prevista no sistema de logística reversa implantado nos termos da Lei 12.305/2010, consoante as responsabilidades específicas estabelecidas para o referido sistema: deixar de destinar OLUC referente a meta/ano 2017.</t>
  </si>
  <si>
    <t>ATF SOLUÇÕES EM MONTAGEM LTDA</t>
  </si>
  <si>
    <t>ATF SOLUÇÕES EM MONTAGEM</t>
  </si>
  <si>
    <t>62, XII DECRETO 6514/2008; 33, IV LEI 12.305/2010.</t>
  </si>
  <si>
    <t>TRBUIBJC</t>
  </si>
  <si>
    <t>Ter em depósito 12kg e 2,1 litros de produto tóxico à saúde humana e perigoso ao meio ambiente (agrotóxico com prazo de validade vencido há mais de seis meses), em desacordo com as exigências estabelecidas em leis ou seus regulamentos.</t>
  </si>
  <si>
    <t>Itaubal</t>
  </si>
  <si>
    <t>AGROPECUÁRIA CERRADO VERDE LTDA</t>
  </si>
  <si>
    <t>Rodovia AP340, km 41, Curicaca.</t>
  </si>
  <si>
    <t>AGR CERES II</t>
  </si>
  <si>
    <t>ML0CH81T</t>
  </si>
  <si>
    <t>Descumprir obrigação prevista no sistema de logística reversa implantado nos termos da Lei 12.305/2010, consoante as responsabilidades específicas estabelecidas para o referido sistema: deixar de destinar OLUC referente a meta / ano 2017.</t>
  </si>
  <si>
    <t>Ribeirão Preto</t>
  </si>
  <si>
    <t>ANTICORROSIVA DO BRASIL LTDA</t>
  </si>
  <si>
    <t>L179D6LP</t>
  </si>
  <si>
    <t>Praticar ato de abuso contra 131 canários da terra, animais silvestres, em prática de rinha.</t>
  </si>
  <si>
    <t>José Luzilvan de Souza</t>
  </si>
  <si>
    <t>Rua Paulino Rocha 397</t>
  </si>
  <si>
    <t>TFL FEIRA MALDITA</t>
  </si>
  <si>
    <t>70 §1º 72 Lei 9605/98; 3º II 29 Decreto 6514/2008.</t>
  </si>
  <si>
    <t>7W0R46M9</t>
  </si>
  <si>
    <t>Sorocaba</t>
  </si>
  <si>
    <t>ABB LTDA.</t>
  </si>
  <si>
    <t>OLE OLUC</t>
  </si>
  <si>
    <t>3 Inc. 2 62 XII Decreto 6514/2008; 70 § 1 Lei 9605/98; 72 Lei 9605/98.</t>
  </si>
  <si>
    <t>62, XII DECRETO 6.514/2008; 33, IV LEI 12.305/2010.</t>
  </si>
  <si>
    <t>EM9UVS7W</t>
  </si>
  <si>
    <t>Praticar ato de abuso contra 131 canários da terra (animais silvestres) em prática de rinha.</t>
  </si>
  <si>
    <t>Praticar ato de abuso, maus-tratos, ferir ou mutilar animais silvestres, domésticos ou domesticados, nativos ou exóticos. Molestar de forma intencional qualquer espécie de cetáceo, pinípede ou sirênio em águas jurisdicionais brasileiras. Explorar ou fazer uso comercial de imagem de animal silvestre mantido irregularmente em cativeiro ou em situação de abuso ou maus tratos.</t>
  </si>
  <si>
    <t>Francisco Carlos Borges Pinheiro</t>
  </si>
  <si>
    <t>7GGZCF6I</t>
  </si>
  <si>
    <t>Praticar ato de abuso contra 131 canários da terra, animais silvestres, em pratica de rinha.</t>
  </si>
  <si>
    <t>DIOGENES ANTONIO DIOGENES PINHEIRO</t>
  </si>
  <si>
    <t>Rua Paulino Rocha, 397</t>
  </si>
  <si>
    <t>TATF4T9F</t>
  </si>
  <si>
    <t>Francisco Machado de Lima</t>
  </si>
  <si>
    <t>29 Decreto 6514/2008.</t>
  </si>
  <si>
    <t>BSGO2LC0</t>
  </si>
  <si>
    <t>Antonio Gonçalves de Oliveira Neto</t>
  </si>
  <si>
    <t>6PFGV0NI</t>
  </si>
  <si>
    <t>ABB LTDA</t>
  </si>
  <si>
    <t>G4E7DFGI</t>
  </si>
  <si>
    <t>ALEXANDRE APARECIDO DA CUNHA IMPORTADORA</t>
  </si>
  <si>
    <t>PERFECT COMERCIAL A IMPORTADORA E REPRESENTAÇÕES</t>
  </si>
  <si>
    <t>D9ZYZY3D</t>
  </si>
  <si>
    <t>PIZZANI LUBRIFICANTES LTDA</t>
  </si>
  <si>
    <t>PIZZANI LUBRIFICANTES</t>
  </si>
  <si>
    <t>NQWAI66R</t>
  </si>
  <si>
    <t>Praticar ato de abuso contra 131 canário da terra, animais silvestres, em prática de rinha.</t>
  </si>
  <si>
    <t>Francisco Benecio de Oliveira</t>
  </si>
  <si>
    <t>CKOVRRIA</t>
  </si>
  <si>
    <t>Ter em cativeiro 107 espécimes da fauna silvestres brasileira, sendo 106 da espécie Sicalis, sem autorização da autoridade ambiental competente.</t>
  </si>
  <si>
    <t>Edmilson Rodrigues da Silva</t>
  </si>
  <si>
    <t>WEXABHPU</t>
  </si>
  <si>
    <t>Luiz Carlos Gonçalves Caracas</t>
  </si>
  <si>
    <t>43R5CVQW</t>
  </si>
  <si>
    <t>PLANITRADE ASSESSORIA COM. E REPRES. LTDA</t>
  </si>
  <si>
    <t>PLANITRADE ASSESSORIA.</t>
  </si>
  <si>
    <t>GPEIPOEK</t>
  </si>
  <si>
    <t>HORTON LUBRIFICANTES INDUSTRIAIS LTDA</t>
  </si>
  <si>
    <t>33, IV Lei n° 12.305/2010; 62, XII Decreto n° 6.514/2010.</t>
  </si>
  <si>
    <t>BSGO2LCO</t>
  </si>
  <si>
    <t>Praticar ato de abuso contra 131 canários da terra, animais silvestres, em  prática de rinha.</t>
  </si>
  <si>
    <t>6B499D73</t>
  </si>
  <si>
    <t>Praticar ato de abuso contra 131 canários da terra, em prática de rinha.</t>
  </si>
  <si>
    <t>Wagner Silva Candido</t>
  </si>
  <si>
    <t>JTCRILEO</t>
  </si>
  <si>
    <t>PEDRO AMERICO PINTO CORDEIRO</t>
  </si>
  <si>
    <t>L0IV0HD3</t>
  </si>
  <si>
    <t>RAIMUNDO ARAÚJO DE CASTRO</t>
  </si>
  <si>
    <t>D2H09MLW</t>
  </si>
  <si>
    <t>Transportar 09 animais da fauna silvestre brasileira, sendo 07 animais conhecido vulgarmente como tatú e 02 vulgarmente conhecido como paca.</t>
  </si>
  <si>
    <t>Gurupá</t>
  </si>
  <si>
    <t>Lucilea marques Fernandes</t>
  </si>
  <si>
    <t>Rio Amazonas, zona rural do Município de Gurupá.</t>
  </si>
  <si>
    <t>55H7HJ6I</t>
  </si>
  <si>
    <t>Paulo Cezar Candido</t>
  </si>
  <si>
    <t>9NUIWMCL</t>
  </si>
  <si>
    <t>Deixar de manter registro de acervo faunístico e movimentação de plantel em sistema informatizado de controle de fauna - SISPASS, sem declarar a fuga do espécime de Saltator similis (trinca-ferro) anilha SISPASS 3,5 MG/A 099781.</t>
  </si>
  <si>
    <t>Nova Lima</t>
  </si>
  <si>
    <t>Vanda Alves de Lourdes</t>
  </si>
  <si>
    <t>Rua Carlos Gomes, n° 09 - Mingu - Nova Lima/MG</t>
  </si>
  <si>
    <t>LOIV0HD3</t>
  </si>
  <si>
    <t>HOJ6TTHT</t>
  </si>
  <si>
    <t>Ter em cativeiro dois espécimes da fauna silvestres brasileira, sem a devida autorização da autoridade ambiental competente.</t>
  </si>
  <si>
    <t>8E770SU4</t>
  </si>
  <si>
    <t>Transportar 185 kg de pescado gelado sendo: 30 kg de pescado popularmente conhecido como Acari boi, 50 kg de pescado popularmente conhecido como Charutinho e 105 kg de pescado popularmente conhecido como Tambaqui, sem comprovante de origem do órgão ambiental competente.</t>
  </si>
  <si>
    <t>Stefferson Raimundo da Silva Pereira</t>
  </si>
  <si>
    <t>Rio Amazonas Zona Rural do Município de Gurupá-PA.</t>
  </si>
  <si>
    <t>GJQKB63X</t>
  </si>
  <si>
    <t>Narcizo Jose Rafael de Lima</t>
  </si>
  <si>
    <t>HCGATBQU</t>
  </si>
  <si>
    <t>José Milton Ponte</t>
  </si>
  <si>
    <t>HB6JMG2O</t>
  </si>
  <si>
    <t>Ter em cativeiro dois espécimes da fauna silvestre brasileira Sicalis flaveola sem a devida autorização da autoridade ambiental competente.</t>
  </si>
  <si>
    <t>BMKVWL9T</t>
  </si>
  <si>
    <t>Fornecer dados fraudados em sistema informatizado de controle de fauna ao declarar o nascimento de 16 (dezesseis) aves no SISPASS, conforme Informação xxx.</t>
  </si>
  <si>
    <t>AMILTON SANTOS NASCIMENTO</t>
  </si>
  <si>
    <t>Rua Irlanda, 275, Jardim Aeroporto - Capelinha/MG.</t>
  </si>
  <si>
    <t>HCGAlBQU</t>
  </si>
  <si>
    <t>Praticar ato de abuso contra 131 canários da terra (animais silvestres) em prática de rinha)</t>
  </si>
  <si>
    <t>DMMBJ6KH</t>
  </si>
  <si>
    <t>Pescar lagosta, mediante utilização de petrecho proíbido (compressor de mergulho) ,com uso da embarcação WALBER, Número de Inscrição na Marinha do Brasil 201 004885-7.</t>
  </si>
  <si>
    <t>Pitimbu</t>
  </si>
  <si>
    <t>Severino Bernardino da Silva</t>
  </si>
  <si>
    <t>Praia de Acaú/PB</t>
  </si>
  <si>
    <t>35 II Decreto 6514; 42 Decreto 6514; 70 1º Lei 9605; 72 Lei 9605; 3º II Decreto 6514; 3º IV Decreto 6514.</t>
  </si>
  <si>
    <t>9, Parágrafo Único IN IBAMA 138/2006.</t>
  </si>
  <si>
    <t>HB6JMG20</t>
  </si>
  <si>
    <t>FF7GSNKI</t>
  </si>
  <si>
    <t>33, IV Lei n° 12.305/2010; 62, XII Decreto n° 6514/2008.</t>
  </si>
  <si>
    <t>DB7287U9</t>
  </si>
  <si>
    <t>REPSOL LUBRIFICANTES E ESPECIALIDADES DO BRASIL</t>
  </si>
  <si>
    <t>Avenida Ibirapuera n. 2332.</t>
  </si>
  <si>
    <t>62, XII Decreto 6.514/2008; 33, IV Lei 12.305/2012.</t>
  </si>
  <si>
    <t>4MO10X8E</t>
  </si>
  <si>
    <t>Marcilio Castro de Albuquerque</t>
  </si>
  <si>
    <t>4M010X8E</t>
  </si>
  <si>
    <t>Praticar  ato de abuso 131 canários da terra, animais silvestres, em prática de rinha.</t>
  </si>
  <si>
    <t>na Rua Paulino Rocha, 397</t>
  </si>
  <si>
    <t>70 §1° 72 Lei 9605/98; 3º II 29 Decreto 6514/2008.</t>
  </si>
  <si>
    <t>4M01OX8E</t>
  </si>
  <si>
    <t>7L00D3S5</t>
  </si>
  <si>
    <t>Praticar ato de abuso contra 131 canários da terra (animais silvestres) em prática de tinha.</t>
  </si>
  <si>
    <t>PAULO HENRIQUE CABRAL DE LIMA</t>
  </si>
  <si>
    <t>I692IAEH</t>
  </si>
  <si>
    <t>UTILIZAR TREZE ESPÉCIMES DA FAUNA SILVESTRE NATIVA EM DESACORDO COM A LICENÇA DA AUTORIDADE COMPETENTE, MANTENDO NO CRIADOURO UM TRINCA-FERRO QUE NÃO CONSTA DA RELAÇÃO DE AVES AUTORIZADAS.</t>
  </si>
  <si>
    <t>RUA IRLANDA 275 JARDIM AEROPORTO CAPELINHA MINAS GERAIS</t>
  </si>
  <si>
    <t>9GXGX54K</t>
  </si>
  <si>
    <t>Deixar de apresentar informações ambientais no prazo determinado pela autoridade ambiental através da Notificação n° 789000 série E.</t>
  </si>
  <si>
    <t>Raposos</t>
  </si>
  <si>
    <t>JOSE CLAUDIO FERREIRA</t>
  </si>
  <si>
    <t>Rua Vereador José Rodrigues Fróes, n° 02 - Vila Valéria - Raposos/MG</t>
  </si>
  <si>
    <t>SDBHTG4D</t>
  </si>
  <si>
    <t>Jose Maria de Oliveira Filho</t>
  </si>
  <si>
    <t>XUV5A11B</t>
  </si>
  <si>
    <t>JOSÉ ELIESER SILVA ARAÚJO</t>
  </si>
  <si>
    <t>70 §1º 72 Lei 9605/98; 3º II Lei 9605/98; 29 Decreto 6514/2008.</t>
  </si>
  <si>
    <t>ONDYY1AX</t>
  </si>
  <si>
    <t>JOSÉ DELORGES BARREIRA GOMES</t>
  </si>
  <si>
    <t>9OHCTUHN</t>
  </si>
  <si>
    <t>Ter em cativeiro quatro espécimes da fauna silvestre brasileira Sicalis flaveola sem a devida autorização da autoridade ambiental competente.</t>
  </si>
  <si>
    <t>JOAO VIEIRA DAMASCENO</t>
  </si>
  <si>
    <t>6YTM944P</t>
  </si>
  <si>
    <t>PROMAX PRODUTOS MAXIMOS S/A INDÚSTRIA E COMÉRCIO</t>
  </si>
  <si>
    <t>PROMAX PRODUTOS MÁXIMOS.</t>
  </si>
  <si>
    <t>YKBWKN2G</t>
  </si>
  <si>
    <t>G Trading Comércio Exterior HQ Ltda.</t>
  </si>
  <si>
    <t>F7EYSREM</t>
  </si>
  <si>
    <t>DDQ4MH6C</t>
  </si>
  <si>
    <t>Armazenar produto tóxico a saúde humana (agrotóxico) e perigoso ao meio ambiente em desacordo com as exigências estabelecidas em leis ou em seus regulamentos.</t>
  </si>
  <si>
    <t>Serranópolis</t>
  </si>
  <si>
    <t>Cláudio Perdoncini</t>
  </si>
  <si>
    <t>Fazenda Pé da Serra</t>
  </si>
  <si>
    <t>90HCTUHN</t>
  </si>
  <si>
    <t>Ter em cativeiro quatro espécimes da fauna silvestre brasileira, sem a devida autorização da autoridade ambiental competente.</t>
  </si>
  <si>
    <t>HGW2U2A1</t>
  </si>
  <si>
    <t>Transportar 45,343 m³ madeira serrada de espécies nativas do bioma amazônico, no veículo placas: QGU0H72 / OEV2234, sem licença válida outorgada pelaautoridade competente.</t>
  </si>
  <si>
    <t>ANJOS COMERCIO E TRANSPORTE DE MADEIRAS EIRELI</t>
  </si>
  <si>
    <t>BR  101,  km  103.  Veículo  (cavalo  trator  tracionandosemi-reboque),  placas:  QGU0H72,  OEV2234,  que transportava madeira foi abordado pela PRF no diano   dia   xxx   às   xxx   horas.   Contatadairregularidade ambiental foi encaminhado à</t>
  </si>
  <si>
    <t>70 §1 72 Lei 9605/98; 3 II, IV 47 §1 Decreto 6514/2008; 48 VI Instrução Normativa IBAMA 21/2014.</t>
  </si>
  <si>
    <t>48, VI IN IBAMA 21/2014.</t>
  </si>
  <si>
    <t>9LUVAH2I</t>
  </si>
  <si>
    <t>EXPORTAR 29 CONCHAS DE MOLUSCOS DA FAUNA BRASILEIRA, SEM COMPROVANTE DE ORIGEM E AUTORIZAÇÃO O ÓRGÃO COMPETENTE. OBJETO POSTAL RR014978595600.</t>
  </si>
  <si>
    <t>ELAINE CRISTINA DE FREITAS</t>
  </si>
  <si>
    <t>SERPI CORREIOS</t>
  </si>
  <si>
    <t>38 Decreto 6514; 70 1º Lei 9605; 72 Lei 9605; 3º II Decreto 6514; 3º IV Decreto 6514.</t>
  </si>
  <si>
    <t>0U6OGACY</t>
  </si>
  <si>
    <t>Deixar de manter movimentação de plantel atualizada ao não declarar óbito da ave SISPASS 3.0 MG/A 027382 (Bicudo) e fornecer dado inconsistente no SISPASS ao declarar data incorreta de nascimento da ave SISPASS 3.5 MG/A 141150 (Trinca-ferro).</t>
  </si>
  <si>
    <t>ROMILDO DE JESUS PEREIRA</t>
  </si>
  <si>
    <t>Rua Araucárias, 215, Jardim Imperial - Capelinha/MG.</t>
  </si>
  <si>
    <t>OSOE07RE</t>
  </si>
  <si>
    <t>Descumprir obrigação prevista no sistema de logística reversa implantado nos termos da Lei n 12.305/2005, de 2010, consoante as responsabilidades específicas estabelecidas para o referido sistema: deixar de destinar OLUC referente a meta/ano de 2018.</t>
  </si>
  <si>
    <t>CATERPILLAR BRASIL COM. DE MÁQUINAS E PEÇAS LTDA</t>
  </si>
  <si>
    <t>Caterpillar Brasil Comercio de Maquinas e Pecas LTDA</t>
  </si>
  <si>
    <t>70 § 1 72 II Lei 9605/98; 3º II 62 Decreto 6514/2008.</t>
  </si>
  <si>
    <t>F9U2XXKX</t>
  </si>
  <si>
    <t>VESL6DGR</t>
  </si>
  <si>
    <t>Destruir 61,01 hectares de Floresta Nativa no Bioma Amazônico, objeto de especial preservação, sem a licença outorgada pelo órgão ambiental competente, no polígono das coordenadas 9° 4' 21" S e 68° 57' 1" W, ID_DES_2019AWS000020909, conforme mapa com análise temporal de imagens anexo ao Processo.</t>
  </si>
  <si>
    <t>Sena Madureira</t>
  </si>
  <si>
    <t>Raimundo Aguimar Santiago Lima</t>
  </si>
  <si>
    <t>Ramal do Km 16, (rural), 22373, P. A. Boa Esperança, CEP 69940-000, SENA Madureira (rural) 24 km da BR 364.</t>
  </si>
  <si>
    <t>2GUL67IN</t>
  </si>
  <si>
    <t>REPSOL LUBRIFICANTES E ESPECIALIDADES BRASIL LTDA</t>
  </si>
  <si>
    <t>MTURRYKK</t>
  </si>
  <si>
    <t>Explorar 1298 árvores nativas da espécie Araucaria angustifolia (pinheiro brasileiro) em desacordo com a licença concedida.</t>
  </si>
  <si>
    <t>Santa Cecília</t>
  </si>
  <si>
    <t>ORIDES LUCAS</t>
  </si>
  <si>
    <t>Fazenda Ouveiro - Estrada Geral do Ubata -SC 350, Interior -Santa Cecília -SC</t>
  </si>
  <si>
    <t>53 § único Decreto 6514/2008; 60 Inc. 2 Decreto 6514/2008.</t>
  </si>
  <si>
    <t>WABJZX4W</t>
  </si>
  <si>
    <t>Dificultar, a ação do Poder Público, no Exercicío de Fiscalização Ambiental por deixar de manter em funcionamento o dispositivo de rastreamento PREPS, da Embarcação "Aparecida" , Colônia Z-10.</t>
  </si>
  <si>
    <t>MOACIR RAMOS DE LIMA</t>
  </si>
  <si>
    <t>Porto Pesqueiro  de Acaú/PB, distrito de Pintimbú-PB.</t>
  </si>
  <si>
    <t>2°, Parágrafo Único INI - MPA/MMA N. 06/2010.</t>
  </si>
  <si>
    <t>MJ2BIXBV</t>
  </si>
  <si>
    <t>EXPORTAR 29 CONCHAS DE MOLUSCOS DA FAUNA BRASILEIRA SEM COMPROVANTE DE ORIGEM E AUTORIZAÇÃO DO ÓRGÃO COMPETENTE. OBJETO POSTAL RR014978595BR.</t>
  </si>
  <si>
    <t>38 Decreto 6514/2008.</t>
  </si>
  <si>
    <t>91O85ACU</t>
  </si>
  <si>
    <t>EXPORTAR 15 CONCHAS DE MOLUSCOS DA FAUNA BRASILEIRA SEM COMPROVANTE DE ORIGEM E AUTORIZAÇÃO DO ÓRGÃO COMPETENTE. OBJETO POSTAL RR014798600BR.</t>
  </si>
  <si>
    <t>KZL9ECT9</t>
  </si>
  <si>
    <t>Ter em deposito produto tóxico à saúde humana e perigoso ao meio ambiente (agrotóxicos com prazo de validade vencido há mais de seis meses), em desacordo com as exigências estabelecidas em leis e seus regulamentos.</t>
  </si>
  <si>
    <t>Chapadão do Céu</t>
  </si>
  <si>
    <t>ARTIDONIO LUIZ PELIZON</t>
  </si>
  <si>
    <t>Fazenda Triângulo de Prata</t>
  </si>
  <si>
    <t>53, 57, 1º, - Dec. Federal 4074/2002.</t>
  </si>
  <si>
    <t>KSRT7BAZ</t>
  </si>
  <si>
    <t>Praticar ato de abuso contra 131 canários da terra, animais silvestres,, em prática de rinha.</t>
  </si>
  <si>
    <t>Caucaia</t>
  </si>
  <si>
    <t>evaldeizo rodrigues da pontes</t>
  </si>
  <si>
    <t>CUGHQB81</t>
  </si>
  <si>
    <t>Francisco Anderson de Souza</t>
  </si>
  <si>
    <t>85IQLGXX</t>
  </si>
  <si>
    <t>Luis Carlos de Souza</t>
  </si>
  <si>
    <t>TFL FEIRAS MALDITAS APOIO RN</t>
  </si>
  <si>
    <t>QOOMTJI7</t>
  </si>
  <si>
    <t>Pescar lagosta mediante utilização de método não permitido (compressor de mergulho) com uso da embarcação APARECIDA I (APARECIDA J2M) Número de Inscrição na Marinha do Brasil 162-000775-4, em cruzeiro de pesca realizado de 18 a 24 de novembro de 2019.</t>
  </si>
  <si>
    <t>Porto de Pontinha - Acaú</t>
  </si>
  <si>
    <t>9, Parágrafo Único  Instrução Normativa Ibama 138/2006. .</t>
  </si>
  <si>
    <t>F5R2YBFZ</t>
  </si>
  <si>
    <t>PLANITRADE ASSES. COM.E REPRES. LTDA.</t>
  </si>
  <si>
    <t>LSFMGHCW</t>
  </si>
  <si>
    <t>José Maia Gadelha</t>
  </si>
  <si>
    <t>MATBWV8J</t>
  </si>
  <si>
    <t>MWP5EKYW</t>
  </si>
  <si>
    <t>KCPP278C</t>
  </si>
  <si>
    <t>Pescar lagosta mediante utilização de petrecho não permitido (compressor de mergulho) com o uso da embarcação LUCIA LACERDA, Número de Inscrição na Marinha do Brasil 162-000656-1.</t>
  </si>
  <si>
    <t>Porto pesqueiro de pontinha</t>
  </si>
  <si>
    <t>9, Parágrafo Único Instrução Normativa Ibama n° 138/2006.</t>
  </si>
  <si>
    <t>SOZCSHK7</t>
  </si>
  <si>
    <t>Transportar 240 kg de pescado gelado sendo: 60 kg da espécie popularmente conhecida como Jeju, 60 kg da espécie popularmente conhecida como Aracú e 60 kg da espécie popularmente conhecida como Curimatã, sem comprovante de origem, pescado transportado no Ferry Boat Amazonas.</t>
  </si>
  <si>
    <t>Walter Moura Sarges</t>
  </si>
  <si>
    <t>37 Decreto 6514; 35 III Decreto 6514; 70 1º Lei 9605; 72 Lei 9605; 3º II Decreto 6514; 3º IV Decreto 6514.</t>
  </si>
  <si>
    <t>BFLKWLZM</t>
  </si>
  <si>
    <t>REXXOLUB LUBRIFICANTES ESPECIAIS EIRELI</t>
  </si>
  <si>
    <t>Rua Alemanha n. 235, Bairro das Nações.</t>
  </si>
  <si>
    <t>4P768MHB</t>
  </si>
  <si>
    <t>RESOLUX DO BRASIL. Rua Projetada 002, n. 205, Prazeres.</t>
  </si>
  <si>
    <t>70 § 1 72 Lei 9605/98; 3 Inc. 2 Decreto 6514/2008.</t>
  </si>
  <si>
    <t>315H1G6G</t>
  </si>
  <si>
    <t>SHELL BRASIL PETRÓLEO LTDA</t>
  </si>
  <si>
    <t>Avenida República do Chile n. 330, Bloco 2, Salas 2001, 2301, 2501, 3101, 3201, 3301, 3401, Centro.</t>
  </si>
  <si>
    <t>9R0HQL46</t>
  </si>
  <si>
    <t>Descumprir embargo de área de 10,82 hectares, parte embargada no TEI nº 615316-C, datado de 11/02/2015 (Processo 02047.000158/2015-63), com implantação 
de pastagem e atividade pecuária.</t>
  </si>
  <si>
    <t>Dormira Jeronima Borges</t>
  </si>
  <si>
    <t>Vicinal Portel, 135, Fazenda Portel, Vila Portel, zona rural, Portel-PA, CEP 68485000</t>
  </si>
  <si>
    <t>1SACBGDJ</t>
  </si>
  <si>
    <t>Transportar 40,883 M³ de madeira serrada de essências diversas, sem licença válida para todo tempo da viagem, outorgada pela autoridade competente.</t>
  </si>
  <si>
    <t>José da Silva Santos</t>
  </si>
  <si>
    <t>Polícia Rodoviária Federal BR 316 KM 12, município de Teresina</t>
  </si>
  <si>
    <t>4B9B0NUX</t>
  </si>
  <si>
    <t>Destruir 87,73ha (ID2019DWS000018316) de vegetação nativa, objeto de especial preservação (Floresta Amazônica), sem autorização ou licença da autoridade ambiental competente.</t>
  </si>
  <si>
    <t>Antonio Carlos Alves dos Santos</t>
  </si>
  <si>
    <t>BR 230, Km 282, Vicinal Portel</t>
  </si>
  <si>
    <t>EMB FENIX II</t>
  </si>
  <si>
    <t>8VJDJXE4</t>
  </si>
  <si>
    <t>Descumprir obrigação prevista no sistema de logística reversa implantado nos termos da Lei 12.305/1010, consoante as responsabilidades específicas estabelecidas para o referido sistema: deixar de destinar OLUC referente a meta/ano 2017.</t>
  </si>
  <si>
    <t>Jundiaí</t>
  </si>
  <si>
    <t>RICOM COMÉRCIO DE MÁQUINAS E SERVIÇOS EIRELI</t>
  </si>
  <si>
    <t>Avenida Antonieta Piva Barranqueiros n. 700, Distrito Industrial.</t>
  </si>
  <si>
    <t>1UJJFCQQ</t>
  </si>
  <si>
    <t>Descumprir obrigação prevista no sistema de logística reversa implantado nos termos da Lei 12.305/2010, consoante as responsabilidades específicas estabelecidas para o referido sistema: deixar de destinar OLUC referente a meta/ano de 2017.</t>
  </si>
  <si>
    <t>SHRIEVE QUÍMICA DO BRASIL LTDA</t>
  </si>
  <si>
    <t>Avenida São João n. 2375, sala 1910, Jardim das Colinas.</t>
  </si>
  <si>
    <t>62, XII Dec. 6514/2008; 33, IV Lei 12.305/2010.</t>
  </si>
  <si>
    <t>T752SPQA</t>
  </si>
  <si>
    <t>Ter em deposito produto tóxico a saúde humana e perigoso ao meio ambiente (agrotóxico com prazo de validade vencido há mais de seis meses), em desacordo com as exigências estabelecidas em leis ou em seus regulamentos.</t>
  </si>
  <si>
    <t>Claudio Perdoncini</t>
  </si>
  <si>
    <t>Fazenda Ponte de Pedra</t>
  </si>
  <si>
    <t>53, Par.1 4072/2002.</t>
  </si>
  <si>
    <t>SKN7URAY</t>
  </si>
  <si>
    <t>EIUINFD5</t>
  </si>
  <si>
    <t>Descumprir obrigação prevista no sistema de logística reversa implantado nos termos da Lei 10.305/2010, consoante as responsabilidades específicas estabelecidas para o referido sistema: deixar de destinar OLUC referente a meta/ano de 2017.</t>
  </si>
  <si>
    <t>Estrada para Parnaíba n. 6501, Jardim das Colinas.</t>
  </si>
  <si>
    <t>33, IV 10.305/2010.</t>
  </si>
  <si>
    <t>NUYUSUN5</t>
  </si>
  <si>
    <t>Armazenar, em local destinado à guarda de máquinas agrícolas e fertilizantes químicos, produto tóxico à saúde humana (agrotóxicos) e perigoso ao meio ambiente, em desacordo com as exigências estabelecidas em leis ou em seus regulamentos.</t>
  </si>
  <si>
    <t>VALTER MIGUEL GIACOMINI</t>
  </si>
  <si>
    <t>Fazenda Matinha, município de Serranópolis GO</t>
  </si>
  <si>
    <t>57, - Decreto 4.074/2002 .</t>
  </si>
  <si>
    <t>9TB5E040</t>
  </si>
  <si>
    <t>Transportar produto agrotóxicos de origem estrangeira, nocivo ao meio ambiente e a saúde humana em desacordo com as exigências estabelecidas em leis e seus regulamentos. Auto de infração lavrado com base no ofício n° xxx - IPL xxx.</t>
  </si>
  <si>
    <t>Roberto Brum Sacco</t>
  </si>
  <si>
    <t>RSC 473, km 143</t>
  </si>
  <si>
    <t>NEF7MOYI</t>
  </si>
  <si>
    <t>Apresentar informação totalmente falsa ao indicar a pesca de 2210kg de Pargo através da Autorização de Pesca da Embarcação Susanne, a qual não consta no sistema oficial de controle (SisRGP).</t>
  </si>
  <si>
    <t>Camocim</t>
  </si>
  <si>
    <t>Gessiane Gomes Araujo</t>
  </si>
  <si>
    <t>Rua Alcindo Rocha, 49</t>
  </si>
  <si>
    <t>IX3VFODX</t>
  </si>
  <si>
    <t>Comercializar 2210 kg da espécie Pargo (Lutjanus purpureus) provenientes da pesca sem comprovante de origem, conforme notas fiscais n° 000.001.054 e 000.001.035.</t>
  </si>
  <si>
    <t>Q46WDLH0</t>
  </si>
  <si>
    <t>Ter em depósito produto tóxico à saúde humana e perigoso ao meio ambiente (agrotóxico sem registro no Brasil), em desacordo com as exigências estabelecidas em leis ou em seus regulamentos.</t>
  </si>
  <si>
    <t>Fazenda Matinha</t>
  </si>
  <si>
    <t>8, 64, 85, - Decreto 4074/2002.</t>
  </si>
  <si>
    <t>9379RALF</t>
  </si>
  <si>
    <t>Descumprir obrigação prevista no sistema de logística reversa implantado nos termos da Lei n° 12.305, de 2010, consoante as responsabilidades específicas estabelecidas para o referido sistema: deixou de destinar OLUC referente a meta/ano de 2017.</t>
  </si>
  <si>
    <t>33, IV Lei n° 12 305/2010; 62, XII Decreto n° 6.514/2008.</t>
  </si>
  <si>
    <t>709K6SZ5</t>
  </si>
  <si>
    <t>Avenida dos Pinheirais n. 565, Blocos 2 a 4, Bairro Chapada.</t>
  </si>
  <si>
    <t>33, IV 12.305/2010.</t>
  </si>
  <si>
    <t>VTBOXF9C</t>
  </si>
  <si>
    <t>TER EM CATIVEIRO TRÊS ESPÉCIMES DA FAUNA SILVESTRE NATIVA EM DESACORDO COM A LICENÇA DA AUTORIDADE AMBIENTAL COMPETENTE, SENDO TRÊS TRINCA-FERROS COM ANILHAS FALSIFICADAS.</t>
  </si>
  <si>
    <t>PAULO RODRIGUES SOARES</t>
  </si>
  <si>
    <t>AVENIDA SENHOR BOM JESUS 260 CENTRO CHAPADA DO NORTE MG</t>
  </si>
  <si>
    <t>24 Inc. 1,3, § 3,6 Decreto 6514/2008.</t>
  </si>
  <si>
    <t>6459ZUJP</t>
  </si>
  <si>
    <t>Efetuar a plataforma P 53, no dia 09/08/2016, de acordo com o comunicado inicial do incidente (UO-RIO-0180/2016 RETIFICADOR), a descarga de 0,017m3 de fluído sintético de perfuração, em desacordo com a legislação e com o autorizado no processo de licenciamento.</t>
  </si>
  <si>
    <t>OLE OLEO ROTINA IV</t>
  </si>
  <si>
    <t>9 c/c 36, III, 1°e 2° parágrafos Decreto Federal 4132/02.</t>
  </si>
  <si>
    <t>F7T4YIED</t>
  </si>
  <si>
    <t>Transportar 40,99 metros cúbicos de madeira serrada, de espécies diversas, descritas nas Guia Florestal GF3, números 605,606 e 607. Em desacordo com GF outorgada pela Autoridade Competente.</t>
  </si>
  <si>
    <t>Caruaru</t>
  </si>
  <si>
    <t>Geraldo Batista de Oliveira</t>
  </si>
  <si>
    <t>POSTO PRF SAO CAETANO BR232
Km145</t>
  </si>
  <si>
    <t>FJAB4U24</t>
  </si>
  <si>
    <t>62, XII Decreto n° 6.514/2008; 33, IV 12.305/2010.</t>
  </si>
  <si>
    <t>CI7JGWYP</t>
  </si>
  <si>
    <t>Exercer pesca de 3.053,00 Kg de pescado com a embarcação Don Antônio A, ins. Cap. 443-011194-4, entre os dias 17/03/2016 e 24/03/2016, em profundidade superior a 250 metros de profundidade, em desacordo com a licença.</t>
  </si>
  <si>
    <t>EVITON ANTONIO ANACLETO</t>
  </si>
  <si>
    <t>IBAMA SUPES-SC</t>
  </si>
  <si>
    <t>37 Decreto 6514/2008.</t>
  </si>
  <si>
    <t>X251EUS6</t>
  </si>
  <si>
    <t>Comercializar e transportar 6024,00 kg de  camarão nativo durante o período de defeso sem as "Guias de Autorização Para Transporte e Comércio de Camarão no Período de Defeso" fornecidas pelo IBAMA.</t>
  </si>
  <si>
    <t>Penha</t>
  </si>
  <si>
    <t>J.A F. CAPTURA INDUSTRIA E COMERCIO DE PESCADOS LTDA</t>
  </si>
  <si>
    <t>Rua Julia da Costa Flores, 555, Fundos. Bairro Gravatá. Município de Penha, SC.</t>
  </si>
  <si>
    <t>0M944Y83</t>
  </si>
  <si>
    <t>Destruir 36,67 hectares de floresta nativa no Bioma Amazônico, cominado com uso de fogo, objetivo de especial preservação, sem a licença outorgada pelo órgão ambiental competente, no polígono de coordenadas centrais 08º 34' 16,88" S e 67º 4' 43,11" w,  de ID_DES:2019AWS000021034, conforme mapa com análise temporal de imagens anexo ao processo.</t>
  </si>
  <si>
    <t>José Admir Ferreira</t>
  </si>
  <si>
    <t>Gleba Bom Lugar, na Estrada BA 04, Município de Lábrea, Amazonas</t>
  </si>
  <si>
    <t>60, l 6514/08.</t>
  </si>
  <si>
    <t>ZFJWCC2P</t>
  </si>
  <si>
    <t>Destruir 10,82 hectares de vegetação nativa, objeto de especial preservação (Floresta Amazônica Brasileira), sem autorização ou licença da autoridade ambiental competente.</t>
  </si>
  <si>
    <t>Vicinal Portel, 135, Fazenda Portel, Vila Portel, CEP 68.485-000, Portel-PA.</t>
  </si>
  <si>
    <t>MZ1AMIV1</t>
  </si>
  <si>
    <t>Impedir a regeneração natural de área de 10,82 hectares de vegetação nativa 
em parte da área embargada indicada no TEI nº 615316-C, datado de 11/02/2015 (Processo 02047.000158/2015-63).</t>
  </si>
  <si>
    <t>Vicinal Portel, 135, Fazenda Portel, Vila Portel, Zona Rural, Pacajá-PA, CEP 68.485-000.</t>
  </si>
  <si>
    <t>3J2UWA8Y</t>
  </si>
  <si>
    <t>Descumprir obrigação prevista no sistema de logística reversa implantado nos termos da Lei n° 12.305, de 2010, consoante as responsabilidades específicas para o referido sistema: deixar de destinar OLUC referente a meta/ano de 2017.</t>
  </si>
  <si>
    <t>NORTLUB RECICLAGEM DE OLEOS MINERAIS LTDA</t>
  </si>
  <si>
    <t>OKSTQIE4</t>
  </si>
  <si>
    <t>Danificar 5,28 hectares de floresta nativa objeto de especial preservação sem licença da autoridade ambiental competente. ID 2019AMC0000001</t>
  </si>
  <si>
    <t>José João Tavares</t>
  </si>
  <si>
    <t>Linha 102</t>
  </si>
  <si>
    <t>UMAGW2AI</t>
  </si>
  <si>
    <t>Descumprir obrigação prevista no sistema de logística reversa implantado nos termos da Lei n° 12.305, de 2010, consoante as responsabilidades específicas estabelecidas no referido sistema: deixar de destinar OLUC referente a meta/ano de 2017.</t>
  </si>
  <si>
    <t>MS Brasil Soluções EM MRO Suprimentos Industriais EIRELI</t>
  </si>
  <si>
    <t>33, IV Lei n° 12.305/2010; 62, XII Decreto Federal n° 6.514/2008.</t>
  </si>
  <si>
    <t>35T3TITY</t>
  </si>
  <si>
    <t>ATB INDUSTRIA E COMERCIO DE ADESIVO LTDA.</t>
  </si>
  <si>
    <t>7L0S8ANP</t>
  </si>
  <si>
    <t>Destruir 10,33 hectares de vegetação nativa, objeto de especial preservação (Floresta Amazônica Brasileira), sem autorização ou licença da autoridade ambiental competente.</t>
  </si>
  <si>
    <t>Geziel Alcantara de Souza</t>
  </si>
  <si>
    <t>Vicinal Lisboa, Fazenda Canadá, Portel, CEP: 66 485-000, Pará.</t>
  </si>
  <si>
    <t>R76I5XDL</t>
  </si>
  <si>
    <t>Impedir a regeneração de 0,32 hectares em área de vegetação permanente.</t>
  </si>
  <si>
    <t>Catalão</t>
  </si>
  <si>
    <t>Cristiano Luiz Mendonça</t>
  </si>
  <si>
    <t>APP do reservatório da UHE Serra do Facão</t>
  </si>
  <si>
    <t>QZ9MRP0G</t>
  </si>
  <si>
    <t>Destruir 75,68 hectares de vegetação nativa, objeto de especial preservação (Floresta Amazônica Brasileira), sem autorização ou licença da autoridade ambiental competente.</t>
  </si>
  <si>
    <t>Vicinal Portel, 135, Fazenda Portel, Vila Portel, CEP 68.485-000, Pacajá, Pará.</t>
  </si>
  <si>
    <t>QD2PFWSI</t>
  </si>
  <si>
    <t>Descumprir obrigação prevista no sistema de logística reversa implantado nos termos da Lei n° 12.305, de 2010, consoante as responsabilidades específicas para o referido sistema: deixou de destinar OLUC referente a meta/ano de 2017.</t>
  </si>
  <si>
    <t>8EZMICEI</t>
  </si>
  <si>
    <t>Impedir a regeneração de 27,61 hectares em área de preservação permanente, conforme relatório anexo.</t>
  </si>
  <si>
    <t>Ivan Pires</t>
  </si>
  <si>
    <t>APP da UHE Serra do Facão</t>
  </si>
  <si>
    <t>00UDOD1X</t>
  </si>
  <si>
    <t>Comercializa espécimes provenientes de pesca proibida (lagosta em condição de pernil- sem carapaça).</t>
  </si>
  <si>
    <t>Ilha de Itamaracá</t>
  </si>
  <si>
    <t>Ricardo de Santana</t>
  </si>
  <si>
    <t>Rua Antônio Morais, 53 - Centro Pilar</t>
  </si>
  <si>
    <t>C4SKM7MQ</t>
  </si>
  <si>
    <t>Desmatar 27,68 hectares de vegetação nativa do cerrado sem a licença outorgada pela autoridade ambiental competente.</t>
  </si>
  <si>
    <t>Amarildo Pinto Ciriaco</t>
  </si>
  <si>
    <t>Fazenda Forquilha</t>
  </si>
  <si>
    <t>43 Decreto 6514; 70 1º Lei 9605; 72 Lei 9605; 3º II Decreto 6514; 3º VII Decreto 6514.</t>
  </si>
  <si>
    <t>2Z2UNXBA</t>
  </si>
  <si>
    <t>UTILIZAR DEZOITO ESPÉCIMES DA FAUNA SILVESTRE NATIVA EM DESACORDO COM A LICENÇA DA AUTORIDADE COMPETENTE.</t>
  </si>
  <si>
    <t>TATIANE FERNANDES MOREIRA SILVA</t>
  </si>
  <si>
    <t>Barra do Fanado, Pinheiro, Zona Rural de Minas Novas, MG.</t>
  </si>
  <si>
    <t>24 Inc. 1 Decreto 6514/2008; 24 Inc. 1, § 6 Decreto 6514/2008.</t>
  </si>
  <si>
    <t>BCCDPXVM</t>
  </si>
  <si>
    <t>APRESENTAR INFORMAÇÃO FALSA NO SISTEMA OFICIAL DE CONTROLE DOF, REFERENTE AO RECEBIMENTO DE  NOVE DOFS IDEOLOGICAMENTE FALSOS, DESCRITOS NA INFORMAÇÃO TECNCIA xxx (SEI!IBAMA xxx)</t>
  </si>
  <si>
    <t>São Raimundo Nonato</t>
  </si>
  <si>
    <t>MARLEIDE SANTANA SANTOS MEE</t>
  </si>
  <si>
    <t>MARLEIDE SANTANA SANTOS ME</t>
  </si>
  <si>
    <t>W7LBQOHQ</t>
  </si>
  <si>
    <t>COMERCIALIZAR 2.210 QUILOS DE PEIXE DA ESPÉCIE PARGO SEM ORIGEM CONFORME NOTAS FISCAIS 000.001.055 E 000.001.036.</t>
  </si>
  <si>
    <t>JC PESCADOS LTDA</t>
  </si>
  <si>
    <t>AV JOÃO BATISTA RIOS, Nº 03, CENTRO, ITAREMA, CE</t>
  </si>
  <si>
    <t>3º, 35, II, IV DECRETO FEDERAL Nº 6.514/08.</t>
  </si>
  <si>
    <t>T3Y63K81</t>
  </si>
  <si>
    <t>Pindamonhangaba</t>
  </si>
  <si>
    <t>TOTAL LUBRIFICANTES DO BRASIL LTDA.</t>
  </si>
  <si>
    <t>TOTAL LUBRIFICANTES. Av. Tobias Salgado n. 45.</t>
  </si>
  <si>
    <t>KJUOO29Q</t>
  </si>
  <si>
    <t>Ter em depósito 60 litros de produto tóxico à saúde humana e perigoso ao meio ambiente (agrotóxico com prazo de validade vencido há mais de seis meses), em desacordo com as exigências estabelecidas em leis ou em seus regulamentos.</t>
  </si>
  <si>
    <t>AGROPECUARIA TARTARUGAL LTDA</t>
  </si>
  <si>
    <t>RAMAL SANTA MARIA, DUAS BOCAS KM 23</t>
  </si>
  <si>
    <t>8° e 85, ...
 4074/2002.</t>
  </si>
  <si>
    <t>5EX46X6X</t>
  </si>
  <si>
    <t>TRIBOTÉCNICA ESPECIALIDADES QUÍMICAS LTDA</t>
  </si>
  <si>
    <t>TRIBOTÉCNICA. Rua Arthur Alves Bandeira n. 200.</t>
  </si>
  <si>
    <t>N9NHEYAK</t>
  </si>
  <si>
    <t>Ter em depósito 0,2241 m3 de madeira serrada sem a devida licença ou autorização do órgão ambiental competente.</t>
  </si>
  <si>
    <t>Ponta Porã</t>
  </si>
  <si>
    <t>Janete Correa</t>
  </si>
  <si>
    <t>Lote 1106 PA Itamarati 2</t>
  </si>
  <si>
    <t>DOF MALHA VERDE II</t>
  </si>
  <si>
    <t>TS74JS6L</t>
  </si>
  <si>
    <t>Transportar 2 (dois) curiós no veículo Honda Biz 125, de cor vermelha, Placa PSP  4499/MA, sem a devida permissão da autoridade ambiental competente.</t>
  </si>
  <si>
    <t>Santa Luzia</t>
  </si>
  <si>
    <t>Jonas Cruz Oliveira</t>
  </si>
  <si>
    <t>Km 404 da BR 222, Santa Luzia/MA</t>
  </si>
  <si>
    <t>DES POLIGONOS III</t>
  </si>
  <si>
    <t>CLV2P461</t>
  </si>
  <si>
    <t>BENEFICIAR 2.210 QUILOS DE PEIXE DA ESPÉCIE PARGO, SEM ORIGEM, CONFORME NOTAS FISCAIS 000.001.055 E 000.001.036</t>
  </si>
  <si>
    <t>EBP EMPRESA BRASILEIRA DE PESCADOS LTDA</t>
  </si>
  <si>
    <t>RUA MANOEL TEÓFILO DA GUIA, Nº 1655, SALA 08</t>
  </si>
  <si>
    <t>3º, 35, II, IV,  DECRETO FEDERAL Nº 6.514/08.</t>
  </si>
  <si>
    <t>NUKCD65Z</t>
  </si>
  <si>
    <t>Louveira</t>
  </si>
  <si>
    <t>MENZOIL INDUSTRIA DE LUBRIFICANTES LTDA</t>
  </si>
  <si>
    <t>XX1R058U</t>
  </si>
  <si>
    <t>Ter em depósito 5,631 m3 de madeira serrada e beneficiada sem licença do órgão ambiental competente.</t>
  </si>
  <si>
    <t>Regiane Cabral dos Santos</t>
  </si>
  <si>
    <t>Lote 1.102 / assentamento Itamarati</t>
  </si>
  <si>
    <t>UH68N8U9</t>
  </si>
  <si>
    <t>FRANCISCO ADRIANO BEZERRA</t>
  </si>
  <si>
    <t>I2YM0HJA</t>
  </si>
  <si>
    <t>Descumprir obrigação prevista no sistema de logística reversa implantado nos termos da Lei 12.305/2010, consoante as responsabilidades específicas estabelecidas para o referido sistema: deixar de destinar OLUC referente a meta de 2017.</t>
  </si>
  <si>
    <t>Rua Arinos n. 15, Parque Industrial Água Vermelha, Osasco / SP.</t>
  </si>
  <si>
    <t>33, IV 13.305/2010.</t>
  </si>
  <si>
    <t>L17F0Y4F</t>
  </si>
  <si>
    <t>33, IV Lei 12.305/2010.</t>
  </si>
  <si>
    <t>893GQJQ2</t>
  </si>
  <si>
    <t>33, IV Lei n° 12.305/3010.</t>
  </si>
  <si>
    <t>YQBQYQ5C</t>
  </si>
  <si>
    <t>Everardo Silva de Oliveira</t>
  </si>
  <si>
    <t>2ZEZL5L4</t>
  </si>
  <si>
    <t>Ter em cativeiro dois espécimes da Fauna silvestres brasileira, sem a devida autorização da autoridade ambiental competente.</t>
  </si>
  <si>
    <t>LCYW38CI</t>
  </si>
  <si>
    <t>Jose Valdete Ribeiro de Castro</t>
  </si>
  <si>
    <t>OYSII3JI</t>
  </si>
  <si>
    <t>DESMATAR 44,298 HECTARES DE VEGETAÇÃO NATIVA DE CERRADO EM AREA DE RESERVA LEGAL, SEM AUTORIZAÇÃO DO ÓRGÃO AMBIENTAL COMPETENTE, CONFORME CAR xxx.</t>
  </si>
  <si>
    <t>Formoso do Araguaia</t>
  </si>
  <si>
    <t>PEDRO BORELLA NETO</t>
  </si>
  <si>
    <t>FAZENDA MORADA NOVA</t>
  </si>
  <si>
    <t>EMB CERRADO LEGAL</t>
  </si>
  <si>
    <t>5U29GUP3</t>
  </si>
  <si>
    <t>UPV23VER</t>
  </si>
  <si>
    <t>Destruir, a corte raso, 49,266 hectares de floresta nativa objeto de especial preservação na Fazenda JK II São Félix do Xingu PA, sem autorização ou licença da autoridade ambiental competente.</t>
  </si>
  <si>
    <t>Leonardo Evaristo Silva</t>
  </si>
  <si>
    <t>Fazenda JK II</t>
  </si>
  <si>
    <t>225, § 4° Constituição Federal de 1988.</t>
  </si>
  <si>
    <t>Z3SSV0OX</t>
  </si>
  <si>
    <t>Pescar espécies que devam ser pereservadas, com tamanhos inferiores  aos permitidos.</t>
  </si>
  <si>
    <t>Recife</t>
  </si>
  <si>
    <t>Luiz Carlos Bezerra</t>
  </si>
  <si>
    <t>Porto Pesqueiro do Bairro Beira Rio-Recife-PE.</t>
  </si>
  <si>
    <t>35 I Decreto 6514; 70 1º Lei 9605; 72 Lei 9605; 3º II Decreto 6514; 3º IV Decreto 6514; 3º IX Decreto 6514.</t>
  </si>
  <si>
    <t>1, 
 IN - 138/2006
.</t>
  </si>
  <si>
    <t>GR6TWFFZ</t>
  </si>
  <si>
    <t>Destruir, a corte raso, 45,132 hectares de floresta nativa objeto de especial preservação, na Fazenda Mariano São Félix do Xingu PA, sem autorização ou licença da autoridade ambiental competente.</t>
  </si>
  <si>
    <t>Angela Cristina Mariano Silva</t>
  </si>
  <si>
    <t>Fazenda Mariano</t>
  </si>
  <si>
    <t>QDK8FX6S</t>
  </si>
  <si>
    <t>Obstar a ação do Poder Público no exercício das atividades de fiscalização ambiental ao não manter o sistema PREPS da Embarcação Silveira - I, registro da Marinha do Brasil n. 162-001843-8, ativo e regular.</t>
  </si>
  <si>
    <t>MARICULTURA PESCADOS COM. IMP. EXPORTAÇÃO LTDA</t>
  </si>
  <si>
    <t>Maricultura Acaraú</t>
  </si>
  <si>
    <t>77 Decreto 6514; 70 1º Lei 9605; 72 Lei 9605; 3º II Decreto 6514; 3º IV Decreto 6514; 3º IX Decreto 6514.</t>
  </si>
  <si>
    <t>KVM7CM6Y</t>
  </si>
  <si>
    <t>Efetuar a Plataforma SS-55 a descarga de 1 l(um litro) de óleo ou misturas oleosas no mar, sem aprovação do órgão ambiental competente.</t>
  </si>
  <si>
    <t>Plataforma SS-55</t>
  </si>
  <si>
    <t>15 Lei 9966; 70 1º Lei 9605; 72 Lei 9605; 3º II Decreto 6514.</t>
  </si>
  <si>
    <t>36, 2° Decreto n° 4.136/2002.</t>
  </si>
  <si>
    <t>VX0ZMGHV</t>
  </si>
  <si>
    <t>Exercer a pesca, através da embarcação Silveira - I, inscrição Marinha do Brasil n. 162-001843-8, sem autorização do órgão competente.</t>
  </si>
  <si>
    <t>37 Decreto 6514; 70 1º Lei 9605; 72 Lei 9605; 3º II Decreto 6514; 3º IV Decreto 6514; 3º IX Decreto 6514.</t>
  </si>
  <si>
    <t>FYJ8CZSG</t>
  </si>
  <si>
    <t>Transportar dois curiós no veículo Honda Biz, de cor vermelha, Placa PSP 4499 /MA, sem a devida permissão da autoridade ambiental competente.</t>
  </si>
  <si>
    <t>KM 404 da BR 222, Santa Luzia/MA.</t>
  </si>
  <si>
    <t>I1NX3ESH</t>
  </si>
  <si>
    <t>Conservar pescados (polvo e lagosta) sem documento de origem (Nota Fiscal). No ato da fiscalização não foi apresentado documento de origem do pescado.</t>
  </si>
  <si>
    <t>Wilson Ferreira Gomes</t>
  </si>
  <si>
    <t>rua Dr. Dirceu toscano de Brito 49</t>
  </si>
  <si>
    <t>KXF26DUN</t>
  </si>
  <si>
    <t>Descumprir Embargo na área autuada nos Auto de Embargo 584171/C de 11/12/2010, substituído pelo Termo de Embargo 703368-E de 18/10/2016. Compreendendo coordenadas geográficas de referência 03°17'20,06"S, 50°58'43,5" W. Processo administrativo 02047.101861/2017-50.</t>
  </si>
  <si>
    <t>WHESLEY ALENCAR SILVEIRA</t>
  </si>
  <si>
    <t>Vicinal do KM 338 pela BR 230, Rod Transamazonica, Norte.</t>
  </si>
  <si>
    <t>QP0ZVO8A</t>
  </si>
  <si>
    <t>Dificultar a regeneração natural de 14,10 hectares de floresta nativa Amazônica, desmatada ilegalmente, objeto de especial preservação, compreendendo coordenadas de referência 03°17'20,06"S, 50°58'43,5" W. Termo de Embargo 584171/C de 11/11/2010 substituido pelo Termo de Embargo 703368-E, processo administrativo 02047.101861/2017-50.</t>
  </si>
  <si>
    <t>Vicinal do KM 338, pela Rod. Transamazonica, BR 230, Norte.</t>
  </si>
  <si>
    <t>APZ9V6ZO</t>
  </si>
  <si>
    <t>Apresentar informação falsa relacionada ao plantel de passeriformes no sistema oficial de controle - SISPASS.</t>
  </si>
  <si>
    <t>Jose Wegiton da Silva</t>
  </si>
  <si>
    <t>Rua Opção Brasil Natal, 340, casa, bairro: Parque Santa Cecília.</t>
  </si>
  <si>
    <t>ROTINA COINF III</t>
  </si>
  <si>
    <t>1°, - Instrução Normativa 10/2011.</t>
  </si>
  <si>
    <t>C72KJ5IH</t>
  </si>
  <si>
    <t>Descumprir obrigação prevista no sistema de logística reversa implantado nos termos da Lei n. 12.305/2010, consoante as responsabilidades específicas estabelecidas para o referido sistema: deixar de destinar OLUC referente a meta de 2017.</t>
  </si>
  <si>
    <t>WORLD BRANDS DISTRIBUIDORA S/A</t>
  </si>
  <si>
    <t>Avenida Coronel Marcos Konder n. 1207, 7 Andar, Sala 73, Centro.</t>
  </si>
  <si>
    <t>70 § 1 72 II Lei 9605/98; 3º II 62 § único Decreto 6514/2008.</t>
  </si>
  <si>
    <t>889WF9LG</t>
  </si>
  <si>
    <t>Portar motosserra sem licença ou registro da autoridade competente.</t>
  </si>
  <si>
    <t>RAIMUNDO COUTINHO COSTA</t>
  </si>
  <si>
    <t>Estrada Santarém x Uruará</t>
  </si>
  <si>
    <t>57 Decreto 6514/2008.</t>
  </si>
  <si>
    <t>7NX0A660</t>
  </si>
  <si>
    <t>Danificar 120,12 hectares de vegetacao nativa Silvestre do bioma Pampa sem a devida autorização ou licença do órgão ambiental competente. Área referente ao polígono identificado SFA 28</t>
  </si>
  <si>
    <t>Fazenda Santa Rosa -Vila Kramer</t>
  </si>
  <si>
    <t>7BEJ2B4X</t>
  </si>
  <si>
    <t>Dificultar a regeneração natural de 44,95 hectares de floresta nativa Amazônica, coordenadas geográficas de referência 03°17'30,9" S, 50°58'43,5"W; 03°17'46,02"S, 50°59'09,07"W; 03°17'52,77"S, 50°59'00,2"W. Termo de Embargo 584171-C de 11/11/2010, substituído pelo Termo de Embargo 703366/E de 18/10/2016.</t>
  </si>
  <si>
    <t>Vicinal 338, pela BR 230, norte.</t>
  </si>
  <si>
    <t>QSAGKC1E</t>
  </si>
  <si>
    <t>Descumprir parcialmente o Embargo nos termos do Auto de Embargo número 584171/C de 11/12/2010 substituido pelo Termo de Embargo número 703366/E de 18/10/2016. coordenadas geográficas de referência 03°17'46,02" S, 50°59'09,07"W, compreendendo área de 44,95 hectares usado irregularmente para pastagens.</t>
  </si>
  <si>
    <t>Vicinal do KM  338, pela BR230, Transamazonica.</t>
  </si>
  <si>
    <t>IREJQHM0</t>
  </si>
  <si>
    <t>Destruir 14,10 hectares de floresta nativa Amazônica, objeto de especial preservação, compreendendo coordenadas geográficas de referência 03°17'20,06"S, 50°58'43,5" W, sem autorização outorgada pela autoridade ambiental competente.</t>
  </si>
  <si>
    <t>Vicinal do KM 338 pela BR 230, Rod. Transamazonica, Norte.</t>
  </si>
  <si>
    <t>70 § 1 72 II,IX Lei 9605/98; 3º II,IX 50 § 2 Decreto 6514/2008.</t>
  </si>
  <si>
    <t>YACXYJ2D</t>
  </si>
  <si>
    <t>Explorar/cortar espécies florestais Peroba Rosa, Angico e Ipê, em área de reserva legal do Assentamento Itamarati, sem autorização prévia do órgão ambiental competente.</t>
  </si>
  <si>
    <t>Ailson Ricardo</t>
  </si>
  <si>
    <t>Lote 1.170 - Assentamento Itamarati 2 - Grupo Che Guevara</t>
  </si>
  <si>
    <t>51 Decreto 6514; 70 1º Lei 9605; 72 Lei 9605; 3º II Decreto 6514; 3º IV Decreto 6514.</t>
  </si>
  <si>
    <t>M8ZB2ZI1</t>
  </si>
  <si>
    <t>Exercer a pesca, com uso da embarcação CAÇARÃO,  inscrição na marinha do brasil 221-0143223-5 sem Autorização de Pesca do órgão competente</t>
  </si>
  <si>
    <t>Av. Dr. Dirceu V. Toscano, 49 Pina Recife/PE</t>
  </si>
  <si>
    <t>S3PD74Y2</t>
  </si>
  <si>
    <t>Estrada Santarém x Uruara</t>
  </si>
  <si>
    <t>F35GIALW</t>
  </si>
  <si>
    <t>Exercer a pesca em desacordo com a licença obtida, junto ao órgão competente. A embarcação B/M Amasa 22 exerceu a pesca, tendo capturado 7.160 kgs de Pescada-Gó (Macrodon Ancylodon), sendo licenciado para a pesca da espécie camarão rosa. Apreensão conforme Termos de Apreensão: 9OQLEK8S, Z8PA698E, QH0C0EWV, R8BWO9UO, F5OSZYST.</t>
  </si>
  <si>
    <t>J. EPITÁCIO DA SILVA</t>
  </si>
  <si>
    <t>Passagem Horta n° 532-A - CEP 66.816-110, Pratinha I, Belém-PA</t>
  </si>
  <si>
    <t>37 Decreto 6514; 70 1º Lei 9605; 72 Lei 9605; 3º II Decreto 6514; 3º IV Decreto 6514.</t>
  </si>
  <si>
    <t>TG31OQZZ</t>
  </si>
  <si>
    <t>Francisco Wanderley Maciel de Freitas</t>
  </si>
  <si>
    <t>D7MLSPH9</t>
  </si>
  <si>
    <t>1SFHJVFC</t>
  </si>
  <si>
    <t>DESMATAR 34,0 HECTARES DE CERRADO EM AREA DE RESERVA LEGAL, SEM AUTORIZAÇÃO DO ÓRGÃO AMBIENTAL COMPETENTE - NATURATINS.</t>
  </si>
  <si>
    <t>Lagoa da Confusão</t>
  </si>
  <si>
    <t>DALTON DIAS HERINGER</t>
  </si>
  <si>
    <t>51, unico DEC FEDERAL N 6514/08.</t>
  </si>
  <si>
    <t>DJMLSPH9</t>
  </si>
  <si>
    <t>Ter em cativeiro dois espécimes da Fauna Silvestre brasileira, sem a devida autorização da autoridade ambiental competente.</t>
  </si>
  <si>
    <t>T85T84HK</t>
  </si>
  <si>
    <t>Transportar 26,174m3  de madeira serrada em vigas, caibros e ripas, essências diversas, sem licença válida para todo tempo da viagem,  outorgada pela autoridade competente.</t>
  </si>
  <si>
    <t>Santa Inês</t>
  </si>
  <si>
    <t>DHONE MANGUEIRA NUNES</t>
  </si>
  <si>
    <t>Posto da Polícia Rodoviária Federal-Vila Marcone (COHAB) Santa Ines-Ma</t>
  </si>
  <si>
    <t>DXP5STZJ</t>
  </si>
  <si>
    <t>Descumprir obrigação prevista no sistema de logística reversa implantado nós termos da Lei n° 12.305, de 2010, consoante as responsabilidades específicas estabelecidas para o referido sistema: deixar de destinar OLUC referente a meta/ano de 2017.</t>
  </si>
  <si>
    <t>62 § único Decreto 6514/2008.</t>
  </si>
  <si>
    <t>IHIDE5IT</t>
  </si>
  <si>
    <t>Francisco Roberto Freire Barros</t>
  </si>
  <si>
    <t>8HWNYAIY</t>
  </si>
  <si>
    <t>Ter em cativeiro especimes da Fauna Silvestres Brasileira, sem a devida autorização do Orgão Ambiental competente.</t>
  </si>
  <si>
    <t>70 1º 72 Lei 9605/98; 3º II-IV 24 §3° I, III Decreto 6514/2008.</t>
  </si>
  <si>
    <t>AGHT1WXY</t>
  </si>
  <si>
    <t>Ter em cativeiro especiais da fauna silvestre nativa 01(um) Galo de Campina e 01(um) A azulão, sem a licença da autoridade Ambiente compente</t>
  </si>
  <si>
    <t>Antônio Lins da Paixão</t>
  </si>
  <si>
    <t>Av. Dr.Dirceu Toscano ,294 A Pina CEP 51110340</t>
  </si>
  <si>
    <t>24 § 4 Decreto 6514/2008.</t>
  </si>
  <si>
    <t>YDAN1112</t>
  </si>
  <si>
    <t>FAZER FUNCIONAR A ATIVIDADE DE CARCINICULTURA EM DOIS VIVEIROS, SEM AUTORIZAÇÃO DA AUTORIDADE AMBIENTE COMPETENTE, NA LOCALIDADE DE ARPUEIRA.</t>
  </si>
  <si>
    <t>MANOEL OZION ROCHA FILHO</t>
  </si>
  <si>
    <t>PRAIA DA ARPUEIRA, CURRAL VELHO, ACARAÚ, CE</t>
  </si>
  <si>
    <t>CAD CATENA</t>
  </si>
  <si>
    <t>ZU2NEW4V</t>
  </si>
  <si>
    <t>Destruir e Danificar uma área de 35,987ha de vegetação nativa da região amazônica, objeto de especial preservação na Fazenda Pé de Serra, sendo que em 21,91ha praticou-se a destruicão da vegetação a corte raso consumada com uso do fogo, e em 14,077ha a vegetação foi danificada a partir de extracao de árvores www com corte predatório sem uso de fogo, conforme mapa com análise temporal de imagem anexo e vistoria de constatação "in loco", polígono de coordenadas geográfica central 03°29'24,484"S - 50°35'44,99"W.</t>
  </si>
  <si>
    <t>ALZEIR FERREIRA LOPES</t>
  </si>
  <si>
    <t>Fazenda Pé de Serra
Rod. BR230 km 282 
Vicinal Portel a 35km Seguindo pelo Ramal Tramontina 7km, Zona Rural, Pacajá/PA</t>
  </si>
  <si>
    <t>F393LYBT</t>
  </si>
  <si>
    <t>Impedir a regeneração natural em uma área de 101,94ha, na Fazenada Pé de Serra referente do TEI n° 418191-C, processo administrativo 02018.000703/2012-16, com polígonos de coordenadas geográficas centrais 3°29'23,078"S - 50°36'0,939'W e 3°29'48,913"S - 50°35'24,224"W.</t>
  </si>
  <si>
    <t>X7F63FBJ</t>
  </si>
  <si>
    <t>Descumprir Embargo em uma área de 101,94ha, na Fazenada Pé de Serra referente do TEI n° 418191-C, processo administrativo 02018.000703/2012-16, com polígonos de coordenadas geográficas centrais 3°29'23,078"S - 50°36'0,939'W e 3°29'48,913"S - 50°35'24,224"W.</t>
  </si>
  <si>
    <t>R601556O</t>
  </si>
  <si>
    <t>Descumprir Embargo em uma área de 98,6ha, na Fazenda Pé de Serra, referente ao TEI n° 593927-C, processo administrativo 02018.000262/2013-33, polígono de coordenadas central 3°29'43,062"S - 50°35'43,779"W.</t>
  </si>
  <si>
    <t>Fazenda Pé da Serra
Rod. BR230 km 282 
Vicinal Portel a 35km Seguindo pelo Ramal Tramontina 7km, Zona Rural, Pacajá/PA</t>
  </si>
  <si>
    <t>KGVUFOZ3</t>
  </si>
  <si>
    <t>Impedir a regeneração natural em uma área de 98,6ha, na Fazenda Pé de Serra, referente ao TEI n°593927-C, processo administrativo 02018.000262/2013-33, polígono de coordenadas central 3°28'43,062"S - 50°35'43,779'W.</t>
  </si>
  <si>
    <t>8PMWBVXX</t>
  </si>
  <si>
    <t>IMPORTAR O AGROTÓXICO (PANGA 900WG) COM RÓTULO EM DESACORDO COM AS EXIGÊNCIAS DO DECRETO 4.074/2002. AWB 125 6475 1480.</t>
  </si>
  <si>
    <t>SINAGRO PRODUTOS AGROPECUÁRIOS SA</t>
  </si>
  <si>
    <t>AEROPORTO INTERNACIONAL DE SÃO PAULO</t>
  </si>
  <si>
    <t>62RM50G6</t>
  </si>
  <si>
    <t>Descumprir obrigação prevista no sistema de logística reversa implantado nos termos da Lei n. 12.305, de 2010, consoante as responsabilidades específicas estabelecidas para o referido tema: deixar de destinar OLUC referente a meta/ano de 2017.</t>
  </si>
  <si>
    <t>Rodovia Presidente Dutra Km 214, Bairro Cumbica, Guarulhos-SP, CEP 07.178-580, CX P. 214.</t>
  </si>
  <si>
    <t>PX93WSCM</t>
  </si>
  <si>
    <t>Impedir e/ou dificultar a regeneração de florestas ou demais formas de vegetação, localizada na área de 15,480 hectares de reserva legal do assentamento Itamarati, área destinada a recuperação pelo replantio do Sistema Agroflorestal, executado pelo INCRA.</t>
  </si>
  <si>
    <t>Cícero Evaristo da Silva</t>
  </si>
  <si>
    <t>Lote 44 - assentamento Itamarati</t>
  </si>
  <si>
    <t>48, - Lei 9605/98.</t>
  </si>
  <si>
    <t>9H2AMIC0</t>
  </si>
  <si>
    <t>Pescar em local proibido, conhecido como Cachoeira dos Pilões, no Rio Grande, utilizando embarcação motorizada de terceiro, durante período de defeso da Piracema.</t>
  </si>
  <si>
    <t>Itumirim</t>
  </si>
  <si>
    <t>Arildo José de Siqueira</t>
  </si>
  <si>
    <t>Rio Grande, Cachoeira dos Pilões.</t>
  </si>
  <si>
    <t>LAVRAS/UNID_TEC</t>
  </si>
  <si>
    <t>PIRAC DOURADO I</t>
  </si>
  <si>
    <t>3°, VII Portaria IEF n° 156, de 13/10/2011..</t>
  </si>
  <si>
    <t>XPF03V2Y</t>
  </si>
  <si>
    <t>José Evaristo da Silva</t>
  </si>
  <si>
    <t>Área de reserva legal do Assentamento Itamarati</t>
  </si>
  <si>
    <t>48, - Lei 9605/1998.</t>
  </si>
  <si>
    <t>OUB109OF</t>
  </si>
  <si>
    <t>Pescar em local proibido, Cachoeira dos Pilões, durante o período de defeso da Piracema, utilizando embarcação motorizada.</t>
  </si>
  <si>
    <t>Luiz Antônio de Siqueira</t>
  </si>
  <si>
    <t>Rua Grande, Cachoeira dos Pilões.</t>
  </si>
  <si>
    <t>JY1RKVJE</t>
  </si>
  <si>
    <t>Transportar 28 espécimes da fauna silvestre nativa, sendo 05 constantes em anexos da CITES, sem a autorização da autoridade ambiental competente.</t>
  </si>
  <si>
    <t>Uruaçu</t>
  </si>
  <si>
    <t>Olírio Nunes da Silva</t>
  </si>
  <si>
    <t>Posto da Polícia Rodoviária Federal em Uruaçu/GO - BR 153, KM 194</t>
  </si>
  <si>
    <t>24 1º I Decreto 6514; 24 1º II Decreto 6514; 24 1º III Decreto 6514; 24 3º I Decreto 6514; 24 3º II Decreto 6514; 24 3º III Decreto 6514; 70 1º Lei 9605; 72 Lei 9605; 3º II Decreto 6514.</t>
  </si>
  <si>
    <t>61S7DF19</t>
  </si>
  <si>
    <t>Ter em cativeiro 04(quatro) aves silvestres da fauna brasileira, sem licença ou autorização da autoridade ambiental competente.</t>
  </si>
  <si>
    <t>Mossoró</t>
  </si>
  <si>
    <t>Alison Glauber Cavalcante Dantas.</t>
  </si>
  <si>
    <t>Rua: João Vitor de Oliveira'15 - Belo Horizonte</t>
  </si>
  <si>
    <t>24, III DEC 6514/08; 24, I DEC 6514/08.</t>
  </si>
  <si>
    <t>OZO67ME6</t>
  </si>
  <si>
    <t>Utilizar 110 (cento e dez) espécimes da fauna silvestre nativa em desacordo com a autorização obtida, sendo 28 (vinte e oito) destas constantes em lista oficial de espécies ameaçadas de extinção (Deliberação Normativa COPAM 147/2010.</t>
  </si>
  <si>
    <t>Itamarandiba</t>
  </si>
  <si>
    <t>SERGIO GERALDO FERNANDES</t>
  </si>
  <si>
    <t>Praça Santa Cecília, 234, Centro - Itamarandiba/MG</t>
  </si>
  <si>
    <t>VUE106JD</t>
  </si>
  <si>
    <t>Descumprir embargo em uma área de 61,07 hectares referente ao Termo de Embargo 624146-C, processo 02018.000568/2012-17, com manuteção de pasto para bovinocultura sem autorização do órgão ambiental competente. Coordenadas central: 03°16'27,286"S 51°13'22,682W.</t>
  </si>
  <si>
    <t>Antônio Francisco do Nascimento</t>
  </si>
  <si>
    <t>Rodovia Transamazônica, Vicinal União, km 30.</t>
  </si>
  <si>
    <t>8PXX1TM7</t>
  </si>
  <si>
    <t>Impendir a regeneração natural de vegetação nativa em uma área de 61,07 hectares referente ao Termo de Embargo 624146-C, processo 02018.000568/2012-17, com manuteção de pasto para bovinocultura sem autorização do órgão ambiental competente. Coordenadas central: 03°16'27,286"S 51°13'22,682W.</t>
  </si>
  <si>
    <t>Rodovia Transamazônica Vicinal União km 30.</t>
  </si>
  <si>
    <t>4HGQNQM3</t>
  </si>
  <si>
    <t>Prestar informaçao falsa no sistema oficial de controle.</t>
  </si>
  <si>
    <t>QUESIA GONZAGA DA SILVA SOUZA xxx - ME</t>
  </si>
  <si>
    <t>Rua Lourenço Mazarollo n°100 Distrito de Extrema Porto Velho-ro</t>
  </si>
  <si>
    <t>ROUTINE</t>
  </si>
  <si>
    <t>3 Inc. 2,9 Decreto 6514/2008; 70 § 1 Lei 9605/98; 72 Lei 9605/98.</t>
  </si>
  <si>
    <t>UNI5DG6C</t>
  </si>
  <si>
    <t>Francisco Leandro de Sousa</t>
  </si>
  <si>
    <t>4SANC1S6</t>
  </si>
  <si>
    <t>8MCZTNC3</t>
  </si>
  <si>
    <t>MNEU5XFU</t>
  </si>
  <si>
    <t>Destruir uma área de 44,358hs de vegetação nativa secundária na região amazônica, objeto de especial preservação, nas coordenadas central 3°44'21,587"S - 50°36'3.079'W.
Este Auto se refere ao total da área desmatada em 2013, onde incluí a área do TEI 10238-E referente ao processo administrativo 02047.000064/2014-11.</t>
  </si>
  <si>
    <t>Sidnei Joaquim Gonçalves</t>
  </si>
  <si>
    <t>Propriedade Rural -
Vicinal Tozete km 14, lado esquerdo,
BR230 km 282
Zona Rural, Pacajá/PA</t>
  </si>
  <si>
    <t>T2V4GU5B</t>
  </si>
  <si>
    <t>Desmatar 51,80 hectares em área de reserva legal ,sem autorização do órgão  ambiental competente, conforme carta imagem em anexo. obs .Este auto substitui o auto de infração n 9096663 - E, em atendimento Decisão interlocutoria xxx, 02024001396/2025-54.</t>
  </si>
  <si>
    <t>Tiago Campin dos Santos</t>
  </si>
  <si>
    <t>linha 7km 12 lado direito do linhão , zona rural distrito de Banbrirante</t>
  </si>
  <si>
    <t>SMZODQGZ</t>
  </si>
  <si>
    <t>Descumprir embargo de área de 19,65 hectares, parte embargada no TEI nº
585434-C, datado de 28/05/2012 (Processo 02018.000747/2012-46), com implantação 
de pastagem e gado na atividade pecuária.</t>
  </si>
  <si>
    <t>Fernando Alves Viturino</t>
  </si>
  <si>
    <t>Vicinal Portel Km 55, Zona Rural, Pacaja, PA, Cep 68.480-000</t>
  </si>
  <si>
    <t>MSVH8YR2</t>
  </si>
  <si>
    <t>Diognes Quaresma Lopes de Melo</t>
  </si>
  <si>
    <t>IJUE4H2S</t>
  </si>
  <si>
    <t>5JY0C2RI</t>
  </si>
  <si>
    <t>Descumprir Embargo de área de 7,48 ha embargada no TEI n° 535666-C, datado de 26/02/13, (processo 02048.000935/2014-89), com implantação de pastagem e gado na atividade pecuária.</t>
  </si>
  <si>
    <t>João Batista Soares Ramos</t>
  </si>
  <si>
    <t>Vicinal Alagoano km-51 zona rural Portel-Pa</t>
  </si>
  <si>
    <t>ZC9GNI2P</t>
  </si>
  <si>
    <t>Impedir a regeneração natural de área de 7,48 ha de vegetação nativa na área embargada indicada pela autoridade competente no TEI-535666-C, datado de 26/02/13.</t>
  </si>
  <si>
    <t>3MGAOSNW</t>
  </si>
  <si>
    <t>Impedir a regeneração natural de área de 19,65 hectares de vegetação nativa 
na área embargada indicada pela autoridade competente no TEI nº 585434-C, datado 
de 28/05/2012 (Processo 02018.000747/2012-46).</t>
  </si>
  <si>
    <t>Vicinal Portel, km 55, Zona Rural, Portel PA.</t>
  </si>
  <si>
    <t>2ELFPEV1</t>
  </si>
  <si>
    <t>Utilizar 108 (cento e oito) espécimes da fauna silvestre nativa em desacordo com a autorização obtida, sendo 28 destas constantes em listas oficiais de espécies ameaçadas de extinção (Deliberação Normativa COPAM 147/2010).</t>
  </si>
  <si>
    <t>3RIQLOCW</t>
  </si>
  <si>
    <t>destruir uma área de 44.358ha de vegetação nativa secundária da região amazônica, objeto de especial preservação, nas coordenadas central 3°44'21,587"S - 25°36'3.079"W.
Este Auto de Infração Substitui o AI 5293-E lavrado em 04/02/2014 referente ao processo administrativo 02047.000064/2014-11.</t>
  </si>
  <si>
    <t>Propriedade Rural
BR 230 km 282 (sentido Man x Atm)
Vicinal Tozete km 14
Zona Rural, Pacajá/PA</t>
  </si>
  <si>
    <t>IO7KXU9Z</t>
  </si>
  <si>
    <t>Impedir ou dificultar a regeneração natural de de florestas e/ou demais formas de vegetação, localizada na área de 30,00 (trinta) hectares de reserva legal do assentamento Itamarati, área destinada ao replantio do Sistema Agroflorestal- S.A.F., executado pelo INCRA.</t>
  </si>
  <si>
    <t>Alex Andrade Soares</t>
  </si>
  <si>
    <t>Área de reserva legal do assentamento Itamarati.</t>
  </si>
  <si>
    <t>48, _ Lei 9605/1998.</t>
  </si>
  <si>
    <t>ANGEBY3C</t>
  </si>
  <si>
    <t>Fazer funcionar atividade utilizadora de recursos ambientais-etiqueta LP007507358GB -importacao de percevejos do gênero Cimex sp sem autorização de importação emitida pelo órgão ambiental competente</t>
  </si>
  <si>
    <t>Wagner Cesario de Abreu</t>
  </si>
  <si>
    <t>Centro internacional dos correios Curitiba
Pinhais/PR</t>
  </si>
  <si>
    <t>08YP5UX9</t>
  </si>
  <si>
    <t>Ter em cativeiro 15 (quinze) espécimes da fauna silvestre nativa brasileira em desacordo com a licença obtida.</t>
  </si>
  <si>
    <t>Nova Iguaçu</t>
  </si>
  <si>
    <t>LUIZ CARLOS DE BARROS</t>
  </si>
  <si>
    <t>Rua Coronel França Soares, 98 casa - Figueira - Nova Iguaçu / Rio de Janeiro.</t>
  </si>
  <si>
    <t>FAME ECHINATA ROTINA II</t>
  </si>
  <si>
    <t>E4TW2N31</t>
  </si>
  <si>
    <t>Impedir a regeneração natural de área de 46,63ha, de vegetação nativa na área embargada indicada pela autoridade competente no TEI-611191-E, datado de 19/11/14.</t>
  </si>
  <si>
    <t>vicinal Alagoano km-51 zona rural Portel-Pa</t>
  </si>
  <si>
    <t>IKHIUGRL</t>
  </si>
  <si>
    <t>Ter em cativeiro dois espécimes da Fauna Silvestres Brasileira, sem a devida autorização da autoridade ambiental competente.</t>
  </si>
  <si>
    <t>12DWTAQJ</t>
  </si>
  <si>
    <t>Praticar ato de abuso contra131 canários da terra, animais silvestres, em prática de rinha.</t>
  </si>
  <si>
    <t>FRANCISCO RODRIGUES CAVALCANTE</t>
  </si>
  <si>
    <t>FBHXBEDJ</t>
  </si>
  <si>
    <t>WBWBAY3A</t>
  </si>
  <si>
    <t>Ter em cativeiro um espécime da Fauna silvestres brasileira, sem a devida autorização da autoridade ambiental competente.</t>
  </si>
  <si>
    <t>JOSE REIS FREITAS</t>
  </si>
  <si>
    <t>GJLEND3E</t>
  </si>
  <si>
    <t>Impedir a regeneração natural da vegetação nativa, em uma área de 2,876ha, referente a uma parte do TEI n° 10238-E, processo administrativo 02047.000064/2014-11, Coord. 03°44'30,039"S - 20°35'29,761'W.</t>
  </si>
  <si>
    <t>Vanderly Prudente de Oliveira</t>
  </si>
  <si>
    <t>Faz. Herança 1
BR230 km 282 (sentido Man x Atm)
Vicinal Tozete km 14
Zona Rural, Pacajá/PA</t>
  </si>
  <si>
    <t>5G52WGYK</t>
  </si>
  <si>
    <t>Descumprir o embargo em uma área de 2,876ha, na Faz. Herança 1, referente a uma parte do TEi n° 10238-E, processo administrativo 03047.000064/2014-11, coord. 03°44'30,039"S - 50°35'29,761'W.</t>
  </si>
  <si>
    <t>Faz. Herança 1
BR230, km 282 (sentido Man x Atm),
Vicinal Tozete km 14
Zona Rural, Pacajá/PA</t>
  </si>
  <si>
    <t>9H1BC96V</t>
  </si>
  <si>
    <t>Destruir, a corte raso, 40,537 hectares de floresta nativa, objeto de especial preservação na Fazenda Bela Vista Água Azul do Norte PA, sem autorização ou licença da autoridade ambiental competente.</t>
  </si>
  <si>
    <t>Água Azul do Norte</t>
  </si>
  <si>
    <t>Rodrigo Carvalho de Souza</t>
  </si>
  <si>
    <t>Fazenda Bela vista</t>
  </si>
  <si>
    <t>URNASQD5</t>
  </si>
  <si>
    <t>Destruir, a corte raso, 39,816 hectares de floresta nativa, objeto de especial preservação na Fazenda Nossa Senhora Aparecida Água Azul do Norte PA, sem autorização ou licença da autoridade ambiental competente.</t>
  </si>
  <si>
    <t>Ubirajara Silva de Souza</t>
  </si>
  <si>
    <t>Fazenda Nossa Senhora Aparecida</t>
  </si>
  <si>
    <t>L96IW0WY</t>
  </si>
  <si>
    <t>Destruir, a corte raso, 49,108 hectares de floresta nativa objeto de especial preservação na Fazenda São José Lote 37 Placas PA, sem autorização ou licença da autoridade ambiental competente.</t>
  </si>
  <si>
    <t>Placas</t>
  </si>
  <si>
    <t>Cleber Alex Souza Vieira</t>
  </si>
  <si>
    <t>Fazenda São José, Lote 37,</t>
  </si>
  <si>
    <t>SJPDGIPI</t>
  </si>
  <si>
    <t>Destruir, a corte raso, 22,326 hectares de floresta nativa, objeto de especial preservação, na Fazenda Reunida São Félix do Xingu PA, sem autorização ou licença da autoridade ambiental competente.</t>
  </si>
  <si>
    <t>Wilton Rodrigues de Souza</t>
  </si>
  <si>
    <t>Fazenda Reunida</t>
  </si>
  <si>
    <t>XQ9IWOTW</t>
  </si>
  <si>
    <t>Impedir a regeneração natural em uma área de 8,11ha, referente a uma parte do TEI n° 10238-E, processo administrativo 02047.000064/2014-11, coord. 3°44'25,813"S - 50°35'27,286"W.</t>
  </si>
  <si>
    <t>Gecilene dos Santos Gomes</t>
  </si>
  <si>
    <t>Sítio Dois Irmãos
BR230 km282 (sentido mar x atm) 
Vicinal Tozete 67 km 14
Zona Rural, Pacajá/PA</t>
  </si>
  <si>
    <t>J06R6WRY</t>
  </si>
  <si>
    <t>Descumprir o embargo em uma área de 8,11ha no Sítio Dóis Irmãos, referente a uma parte do TEI n°10238-E, processo administrativo 02047.000064/2014-11, Coord. 3°44'25,813'S - 50°35'27,286"W.</t>
  </si>
  <si>
    <t>Sítio Dois Irmãos
BR230 km 282 (sentido mar x atm)
Vicinal Tozete 67 km 14,
Zona Rural, Pacajá/PA</t>
  </si>
  <si>
    <t>PFFYFOQB</t>
  </si>
  <si>
    <t>Destruir 80,27ha de vegetação nativa, objeto de especial preservação (Floresta Amazônica Brasileira), sem autorização ou licença da autoridade ambiental competente (ID2017LC8813699 e ID2018AWS000004616).</t>
  </si>
  <si>
    <t>NILTON ANTUNES PEREIRA</t>
  </si>
  <si>
    <t>Fazenda Flor da Mata, BR 230, km 282, Vicinal Portel, 55km a dentro.</t>
  </si>
  <si>
    <t>YJQ3IYM9</t>
  </si>
  <si>
    <t>Destruir uma área de 4.85ha de vegetação nativa na região amazônica, objeto de especial preservação, no Sítio Dois Irmãos, em Pacajá, nas coordenadas 3°44'21,587"S - 50°36'3,079"W.</t>
  </si>
  <si>
    <t>Sítio Dois Irmãos
BR230 km 282 (sentido Mar x Atm) 
Vicinal Tozete km 15</t>
  </si>
  <si>
    <t>PB82VH2F</t>
  </si>
  <si>
    <t>Destruir, a corte raso, 36,659 hectares de floresta nativa, objeto de especial preservação, na Fazenda São José São Félix do Xingu PA, sem autorização ou licença da autoridade ambiental competente.</t>
  </si>
  <si>
    <t>Anderson Lima de Freitas</t>
  </si>
  <si>
    <t>225, § 4° Constituição federal de 1988.</t>
  </si>
  <si>
    <t>UMDVQC7V</t>
  </si>
  <si>
    <t>Impedir a regeneração natural de área de 104,67ha de vegetação nativa na área embargada indicada pela autoridade competente no TEI n° 677793-E, datado de 08/02/2016 (Proc 02018.000446/2016-46).</t>
  </si>
  <si>
    <t>HR99W5Q5</t>
  </si>
  <si>
    <t>Descumprir embargo de área de 5,51ha, parte embargada no TEI n° 585434-C, datado de 28/05/2012 (Proc 02018.000747/2012-46)</t>
  </si>
  <si>
    <t>Fazenda Flor da Mata, BR 230, km 282, Vicinal Portel 55km a dentro.</t>
  </si>
  <si>
    <t>VAUBL7DQ</t>
  </si>
  <si>
    <t>Descumprir embargo de área de 104,67ha, parte embargada no TEI n° 677793-E, datado de 08/02/2016 (Proc 02018.000446/2016-46), com implantação de pastagem e gado na atividade da pecuária.</t>
  </si>
  <si>
    <t>8PTD2BJI</t>
  </si>
  <si>
    <t>Destruir 89,86 hectares de floresta nativa no Bioma Amazônico, objeto de especial preservação, sem a licença outorgada pelo órgão ambiental competente, no polígono de coordenadas centrais 08° 42' 40,48 S e 67° 08' 32,61" É de ID_ DES_2019AWS000045503, conforme mapa com análise temporal de imagens anexo ao processo.</t>
  </si>
  <si>
    <t>João Paulo da Silva Belo</t>
  </si>
  <si>
    <t>Colônia João Lucas, na confluência do Ramal do Adigio com Ramal União.</t>
  </si>
  <si>
    <t>QVGPK5JU</t>
  </si>
  <si>
    <t>Descumprir Embargo de área de 46,63ha embargada no TEI n°611191-E, datado 19/11/14, com implantação de pastagem e gado na atividade pecuária.</t>
  </si>
  <si>
    <t>Vicinal Alagoano km 51 Zona rural Portel-Pa.</t>
  </si>
  <si>
    <t>CA4ARJNR</t>
  </si>
  <si>
    <t>Desmatar a corte raso 14,82 hectares de vegetação nativa (Cerrado), fora da Área de Reserva Legal, na propriedade Fazenda Meia Ponte, Zona Rural de Piranhas-GO, na coodenada geográfica (média das coordenadas) 16°20'10,58"S/51°58'2,64"E (Datum WGS84), sem autorização da autoridade ambiental competente. Polígono do desmatamento irregular (com Mapa e Memorial Descritivo contendo as coordenadas geográficas), em anexo ao processo administrativo do IBAMA resultante desta autuação.</t>
  </si>
  <si>
    <t>Piranhas</t>
  </si>
  <si>
    <t>FRANCISCA VANDA LUCIA RODRIGUES</t>
  </si>
  <si>
    <t>Fazenda Meia Ponte - Piranhas-GO</t>
  </si>
  <si>
    <t>YBQH1VY5</t>
  </si>
  <si>
    <t>Transportar um curió, em desacordo com a licença obtida.</t>
  </si>
  <si>
    <t>CARLOS ALBERTO FREITAS DE OLIVEIRA</t>
  </si>
  <si>
    <t>Travessa Lomas Valentinas, 907, Pedreira, Belém, PA.</t>
  </si>
  <si>
    <t>33, II Instrução Normativa Ibama N° 10/2011.</t>
  </si>
  <si>
    <t>RK1JR2VW</t>
  </si>
  <si>
    <t>Descumprir embargo de área de 321,67ha, embargada no TEI n° 617429-E, datado de 28/03/2016 (Proc 02018.001092/2016-57).</t>
  </si>
  <si>
    <t>Fazenda Flor da Mata, BR 230, Km 282, Vicinal Portel a 55km da faixa.</t>
  </si>
  <si>
    <t>BI8JHPWH</t>
  </si>
  <si>
    <t>Impedir a regeneração natural de área de 5,51ha de vegetação nativa na área embargada indicada pela autoridade competente no TEI n° 585434-C, datado de 28/05/2012 (Proc 02018.000747/2012-46).</t>
  </si>
  <si>
    <t>Fazenda Flor da Mata, BR 230, Km 282, Vicinal Portel, a 55km da faixa.</t>
  </si>
  <si>
    <t>1SWYR4MP</t>
  </si>
  <si>
    <t>Destruir, a corte raso, 38,678 hectares de floresta nativa, objeto de especial preservação, na Fazenda HP São Félix do Xingu PA, sem autorização ou licença da autoridade ambiental competente.</t>
  </si>
  <si>
    <t>Domingas de Paula Pereira de Araújo</t>
  </si>
  <si>
    <t>Fazenda HP</t>
  </si>
  <si>
    <t>225, § 4° Constituição Federal.</t>
  </si>
  <si>
    <t>796DJR6W</t>
  </si>
  <si>
    <t>ROVRKQ62</t>
  </si>
  <si>
    <t>Destruir, a corte raso, 40,336 hectares de floresta nativa, objeto de especial preservação, no Sitio Dalila São Félix do Xingu PA, sem autorização ou licença da autoridade ambiental competente.</t>
  </si>
  <si>
    <t>ARNALDO COELHO DE SOUZA</t>
  </si>
  <si>
    <t>Sítio Dalila</t>
  </si>
  <si>
    <t>GNBT4F3S</t>
  </si>
  <si>
    <t>Impedir a regeneração natural da área de 321,67ha de vegetação nativa na área embargada indicada pela autoridade competente no TEI n° 617429-E, datado de 28/03/2016 (Proc: 02018.001092/2016-57).</t>
  </si>
  <si>
    <t>Fazenda Flor da Mata, BR 230, km 282, Vicinal Portel a 55 km da faixa.</t>
  </si>
  <si>
    <t>7UBXATLJ</t>
  </si>
  <si>
    <t>Destruir 72,13 ha de vegetação nativa, objeto de especial preservação (Floresta Amazônica Brasileira), sem autorização ou licença da autoridade ambiental competente. ID 2018AWS000129075</t>
  </si>
  <si>
    <t>Vicinal Alagoano km-51</t>
  </si>
  <si>
    <t>BNVHK0OC</t>
  </si>
  <si>
    <t>Pratica ato de abuso  em 131 canário da terra, animais silvestres, em prática de rinha.</t>
  </si>
  <si>
    <t>FN3Y1LDH</t>
  </si>
  <si>
    <t>Utilizar 16 (dezesseis) espécimes da fauna silvestre nativa em desacordo com a autorização obtida, sendo 04 (quatro) destas constantes em lista oficial de espécies ameaçadas de extinção (Deliberação Normativa COPAM 147/2010).</t>
  </si>
  <si>
    <t>ANDERSON WESLEY ANDRADE</t>
  </si>
  <si>
    <t>Sítio Lagoinha, Distrito de Caçaratiba - Turmalina/MG.</t>
  </si>
  <si>
    <t>GW63H8YU</t>
  </si>
  <si>
    <t>Destruir 50,308 hectares de Floresta Nativa na Fazenda Carolyna, lote 73 Gleba 50 em Placas PA, objeto de Especial Preservação sem Autorização ou Licença da Autoridade Ambiental Competente.</t>
  </si>
  <si>
    <t>ANTONIO BESAGIO LOPES</t>
  </si>
  <si>
    <t>Fazenda Carolyna, lote 73 Gleba 50 Placas PA</t>
  </si>
  <si>
    <t>5HQ4EG2X</t>
  </si>
  <si>
    <t>Dificultar a regeneração natural de vegetação nativa em uma área de 60,61 hectares considerada de preservação permanente, indicada pela Autoridade Ambiental Competente, conforme carta imagem em anexo ao processo n. 02553.100446/2017-169.</t>
  </si>
  <si>
    <t>Heberson Caetano Ferreira</t>
  </si>
  <si>
    <t>APP do reservatório da UHE Serra do Facão no município de Catalão - GO</t>
  </si>
  <si>
    <t>N4XQ5QMP</t>
  </si>
  <si>
    <t>Destruir 41,987 hectares de Floresta Nativa no Sitio São João em Placas PA Gleba 76, objeto de especial preservação,sem Autorização ou Licença da Autoridade Ambiental Competente.</t>
  </si>
  <si>
    <t>Francisco Xavier Galvão</t>
  </si>
  <si>
    <t>Sitio São João Lote 76 Gleba 48 Placas PA</t>
  </si>
  <si>
    <t>Q7U9AKME</t>
  </si>
  <si>
    <t>PROMOVER CONSTRUÇÃO DE UM MURO EM SOLO NÃO EDIFICAVEL EM ÁREA DE MANGUE E DUNAS, ASSIM CONSIDERADO  PELO VALOR ECOLÓGICO SEM AUTORIZAÇÃO DO ÓRGÃO AMBIENTAL COMPETENTE</t>
  </si>
  <si>
    <t>MARCILO MAGALHÃES DO NASCIMENTO</t>
  </si>
  <si>
    <t>PRAIA DO ARPOEIRO NO MUNICÍPIO DE ACARAÚ CE</t>
  </si>
  <si>
    <t>70 1º Lei 9605; 72 Lei 9605; 3º II Decreto 6514; 3º VIII Decreto 6514.</t>
  </si>
  <si>
    <t>74, 3º II DECRETO 6514/08.</t>
  </si>
  <si>
    <t>XIONPRTT</t>
  </si>
  <si>
    <t>Fazer funcionar atividades de fontes seladas radioativas, sem Licença ou autorização dos órgãos ambientais competentes.</t>
  </si>
  <si>
    <t>RAÍZEN COMBUSTÍVEIS SA</t>
  </si>
  <si>
    <t>FPSO - Fluminense</t>
  </si>
  <si>
    <t>MQP7IMKJ</t>
  </si>
  <si>
    <t>Destruir 51,906 hectares de Floresta Nativa no Sitio São João Lote 78 Gleba 48 em Placas PA, objeto de Especial Preservação sem Autorização ou Licença da Autoridade Ambiental Competente.</t>
  </si>
  <si>
    <t>Sítio São João Lote 78 Gleba 48 Placas PA</t>
  </si>
  <si>
    <t>BMVHK0OC</t>
  </si>
  <si>
    <t>Praticar ato de abuso em 131 canários da terra, animais silvestres, em prática de rinha.</t>
  </si>
  <si>
    <t>NB877NIP</t>
  </si>
  <si>
    <t>FUNCIONAR TRANSPORTE DE PRODUTOS PERIGOS DE UMA MELOSA, PLACA OSQ 8840, SEM A AUTORIZAÇÃO DA AUTORIDADE AMBIENTE COMPETENTE.</t>
  </si>
  <si>
    <t>SS&amp;B CONSTRUTORA LTDA.</t>
  </si>
  <si>
    <t>CE 085, ZONA RURAL, SÃO GONÇALO DO AMARANTE</t>
  </si>
  <si>
    <t>3 Inc. 2,4,7 Decreto 6514/2008; 70 § 1 Lei 9605/98; 72 Lei 9605/98.</t>
  </si>
  <si>
    <t>3º, 66, II, IV. VII DECRETO FEDERAL Nº 6.514/08.</t>
  </si>
  <si>
    <t>XIWJVFSO</t>
  </si>
  <si>
    <t>Armazenar 415 bombonas de resíduos radioativos(resíduos de TENORM), substância perigosa ou nociva a saúde humana ou ao meio ambiente, em desacordo com as exigências estabelecidas em leis e regulamentos(Norma CNEN NN 8.02).</t>
  </si>
  <si>
    <t>64 2º Decreto 6514; 70 1º Lei 9605; 72 Lei 9605; 3º II Decreto 6514.</t>
  </si>
  <si>
    <t>1M730PCX</t>
  </si>
  <si>
    <t>Destruir 72,51 ha de vegetação nativa, objeto de especial preservação (Floresta Amazônica Brasileira), sem autorização da autoridade ambiental competente.</t>
  </si>
  <si>
    <t>GERONIO RODRIGUÊS DA FONSECA</t>
  </si>
  <si>
    <t>Rod.BR-230, vicinal Lisboa, ramal Surubim Fazenda GR.</t>
  </si>
  <si>
    <t>QGRWW1OT</t>
  </si>
  <si>
    <t>Destruir 40,783 hectares de Floresta  Nativa na Fazenda Vô Bento em Placas PA, objeto de Especial Preservação sem Autorização ou Licença da Autoridade Ambiental Competente.</t>
  </si>
  <si>
    <t>Antônio Besagio Lopes</t>
  </si>
  <si>
    <t>Fazenda Vó Benito, lote 60 Parcela II Gleba 48 Placas PA</t>
  </si>
  <si>
    <t>YFIXMTOL</t>
  </si>
  <si>
    <t>Destruir 55,174 hectares de Floresta Nativa na Fazenda Cumaru Gleba 50 em Placas PA, objeto de Especial Preservação sem Autorização ou Licença da Autoridade Ambiental Competente.</t>
  </si>
  <si>
    <t>Fazenda Cumaru Placas PA</t>
  </si>
  <si>
    <t>P3TDGVLY</t>
  </si>
  <si>
    <t>CONSTRUIR UM MURO DE ALVENARIA DE 148,8 METROS QUADRADOS EM SOLO NÃO EDIFICAFEL, ÁREA DE MANGUE.</t>
  </si>
  <si>
    <t>Penalidade pecuniária - Ordenamento urbano e Contr. patrim.</t>
  </si>
  <si>
    <t>Ord. Urbano e Patr. Cultural</t>
  </si>
  <si>
    <t>Infração de Ordenamento Urbano e Patrimônio Cultural(Não Classificada-Móvel)</t>
  </si>
  <si>
    <t>ALYSSON RANIERI DE A C ALBUQUERQUE</t>
  </si>
  <si>
    <t>PRAIA DE ARPUEIRA</t>
  </si>
  <si>
    <t>3 Inc. 2,8 Decreto 6514/2008; 70 § 1 Lei 9605/98; 72 Lei 9605/98.</t>
  </si>
  <si>
    <t>3º, 74, II, VIII DECRETO FEDERAL Nº 6514/08.</t>
  </si>
  <si>
    <t>AS3J1Z9R</t>
  </si>
  <si>
    <t>Destruir 20,764 hectares de Floresta Nativa no Sítio Campo Verde II Placas PA, objeto de especial preservação, sem Autorização ou Licença da Autoridade Ambiental Competente.</t>
  </si>
  <si>
    <t>Cicero da Silva Almeida</t>
  </si>
  <si>
    <t>Sitio Campo Verde II Lote 74 Placas PA</t>
  </si>
  <si>
    <t>1WGX9HTC</t>
  </si>
  <si>
    <t>Ter em cativeiro 03 (três) passeriformes (02 sabiá-da-mata, 01 sabiá gongá), 01 (um)
ararajuba, 02 (dois) jabutis, sem licença ambiental do órgão ambiental competente.</t>
  </si>
  <si>
    <t>BR230, KM 282 Vicinal Portel a 55 KM da faixa, Zona Rural, CEP: 66.480-000, Portel, Pará</t>
  </si>
  <si>
    <t>AOVBFS88</t>
  </si>
  <si>
    <t>Destruir 19,65 hectares de vegetação nativa, objeto de especial preservação (Floresta Amazônica Brasileira), sem autorização ou licença da autoridade ambiental competente.</t>
  </si>
  <si>
    <t>Vicinal Portel, Km 55, Zona Rural, CEP 68480-000, Portel, Pará.</t>
  </si>
  <si>
    <t>S0K8OR4R</t>
  </si>
  <si>
    <t>Desmatar a corte raso 38,93 hectares de área de Cerrado, objeto de especial preservação, sem autorização da autoridade ambiental competente nas Coordenadas Geográficas 00° 21'57,38" N e 50°50'24,47" S, no ID2019000016, conforme mapa de alteração de cobertura vegetal.</t>
  </si>
  <si>
    <t>AGROPECUARIA PARANA LTDA - ME</t>
  </si>
  <si>
    <t>Rodovia AP 070 - Retiro São Joaquim - Zona Rural - Município de Macapá-AP.</t>
  </si>
  <si>
    <t>SAQBXL3H</t>
  </si>
  <si>
    <t>PROMOVER CONSTRUÇÃO DE UM BALNEÁRIO EM SOLO NÃO EDIFICAVEL CONSIDERADO EM RAZÃO DO SEU VALOR ECOLÓGICO EM RIACHO DA MATA ATLÂNTICA</t>
  </si>
  <si>
    <t>Uruburetama</t>
  </si>
  <si>
    <t>LOURIVAL QUEIROZ BARBOSA</t>
  </si>
  <si>
    <t>SÍTIO SÃO ROMÃO URUBURETAMA</t>
  </si>
  <si>
    <t>ROTINA OUTUBRO</t>
  </si>
  <si>
    <t>3º 74, VII DECRETO 6514/2008.</t>
  </si>
  <si>
    <t>R1Z0C3OT</t>
  </si>
  <si>
    <t>DESMATAR 0,3251 HECTARES DE MATA ATLÂNTICA, SEM AUTORIZAÇÃO DA AUTORIDADE AMBIENTE COMPETENTE, NO SÍTIO ARAPEGUABA, ID 32, COORDENADAS GEOGRÁFICAS 03º34'15 S 39º34'20 W</t>
  </si>
  <si>
    <t>JOSÉ BRAGA PIRES</t>
  </si>
  <si>
    <t>SITIO ARAPEGUABA, DISTRITO ITAQUATIARA, ITAPIPOCA, CE</t>
  </si>
  <si>
    <t>3º, 50, II, VII DECRETO FEDERAL Nº 6.514/08.</t>
  </si>
  <si>
    <t>CDAMQ4U9</t>
  </si>
  <si>
    <t>DESMATAR 1,118 HECTARES DE MATA ATLÂNTICA, SEM AUTORIZAÇÃO DA AUTORIDADE AMBIENTE COMPETENTE, SITIO FLEXEIRA, COORDENADAS GEOGRÁFICAS CENTRÓIDE 03º34'51 S 39º34'47 W</t>
  </si>
  <si>
    <t>JOÃO AFRANIO MONTENEGRO</t>
  </si>
  <si>
    <t>SÍTIO FLEXEIRA, ZONA RURAL, ITAPIPOCA, CE</t>
  </si>
  <si>
    <t>XVIRJF8E</t>
  </si>
  <si>
    <t>Ter em depósito 30 metros estéreo de lenha nativa, produto de origem vegetal, sem cobertura do documento de origem ambiental competente.</t>
  </si>
  <si>
    <t>Trairi</t>
  </si>
  <si>
    <t>ERINALDO FREITAS MOURA ME</t>
  </si>
  <si>
    <t>Na Vila Bacumicha no Município de Trairi/CE</t>
  </si>
  <si>
    <t>70 1º 72 Lei 9605/98; 3º II-IV Lei 9605/98; 3º 47 1º Decreto 6514/2008.</t>
  </si>
  <si>
    <t>3º  47, 1º 6514/2008.</t>
  </si>
  <si>
    <t>R1Z0C30T</t>
  </si>
  <si>
    <t>Desmatar 0,3251 hectares de mata atlantica, sem autorização da Autoridade ambiental.</t>
  </si>
  <si>
    <t>Destruir, desmatar, danificar florestas ou qualquer tipo de vegetação nativa ou de espécies nativas plantadas, objeto de especial preservação, em área de reserva legal ou servidão florestal, de domínio público ou privado não passíveis de autorização para exploração ou supressão ou sem autorização ou licença da autoridade ambiental competente ou em desacordo com a aprovação concedida, inclusive em planos de manejo florestal sustentável.</t>
  </si>
  <si>
    <t>no Sitio Arapeguaba</t>
  </si>
  <si>
    <t>70 §1º 72 Lei 9605/98; 3º II, VII 3º, 50 II, VII Decreto 6514/2008.</t>
  </si>
  <si>
    <t>R7XB04R8</t>
  </si>
  <si>
    <t>Descumprir embargo de 424,525 ha de vegetação nativa referente ao Termo de Embargo n. 637655-E, processo n. 02069.000417/2008-79, em duas poligonais com coordenadas geográficas centrais Lat. 3° 15' 37.366" S / Long. 50° 54' 51.499" W e  Lat. 3° 16' 17.819" S / Long. 50° 53' 48.239" W, sem autorização do órgão ambiental competente, conforme parecer técnico n. xxx e carta-imagem com análise temporal na área do TE - anos 2014 e 2019 em anexo e vistoria de constatação de área realizada pelo Ibama em xxx.</t>
  </si>
  <si>
    <t>MARLY VENANCIA RAPPE</t>
  </si>
  <si>
    <t>Fazendas São Roque e 2 Irmãos, Vicinal Km 320, Norte, Km 57, s/n°. Zona Rural. Pacajá/PA. CEP 68485-000.</t>
  </si>
  <si>
    <t>FYEO7NDW</t>
  </si>
  <si>
    <t>Impedir a regeneração natural em 424,525 ha de vegetação nativa referente ao Termo de Embargo n. 637655-E, processo n. 02069.000417/2008-79, em duas poligonais com coordenadas geográficas centrais Lat. 3° 15' 37.366" S / Long. 50° 54' 51.499" W e  Lat. 3° 16' 17.819" S / Long. 50° 53' 48.239" W, sem autorização do órgão ambiental competente, conforme parecer técnico n. xxx e carta-imagem com análise temporal na área do TE - anos 2014 e 2019 em anexo e vistoria de constatação de área realizada pelo Ibama em xxx.</t>
  </si>
  <si>
    <t>Fazendas São Roque e 2 Irmãos. Vicinal 320, Norte, Km 57, s/n°. Zona Rural. Pacajá/PA. CEP 68485-000.</t>
  </si>
  <si>
    <t>CCWUR6VB</t>
  </si>
  <si>
    <t>Exercer atividade de pesca, sem a prévia autorização do órgão competente.</t>
  </si>
  <si>
    <t>Amapá</t>
  </si>
  <si>
    <t>Fábio da Silva negrão</t>
  </si>
  <si>
    <t>Ponta da Machadinha.</t>
  </si>
  <si>
    <t>RG0F21JB</t>
  </si>
  <si>
    <t>Destruir 61,01 hectares de Floresta nativa no Bioma Amazônico, objeto de especial preservação, sem a licença outorgada pelo órgão ambiental competente, no polígono, nas coordenadas 68º 57' 1" E e 9º 4' 21" S, ID_DES_2019AWS000020909, conforme mapa com análise temporal de imagens anexo ao processo.</t>
  </si>
  <si>
    <t>Ramal do Km 16, (RURAL), 22373 P.A Projeto Boa Esperança, CE 69940-000, Sena Madureira (Rural), 24 Km da BR 364.</t>
  </si>
  <si>
    <t>QJ4FYRJZ</t>
  </si>
  <si>
    <t>Danificar 12,69 hectares de vegetação nativa típica de cerrado. na Fazenda Santo Expedito-Município de Estreito-Ma  ID 2019RMOS000000010, sem aprovação prévia do órgão ambiental competente.</t>
  </si>
  <si>
    <t>Estreito</t>
  </si>
  <si>
    <t>Alba Tánia Fonseca de Abreu Cunha</t>
  </si>
  <si>
    <t>Fazenda Santo Expedito- Municípios de Estreito-Ma</t>
  </si>
  <si>
    <t>4D26XLKZ</t>
  </si>
  <si>
    <t>DESMATAR 87,9864 HECTARES DE CERRADO SEM AUTORIZAÇÃO DO ÓRGÃO AMBIENTAL COMPETENTE - NATURATINS.
Auto de Infração lavrado por determinação (Decisao de 1a Instância não homologatoria N. xxx - Proc 02029.000140/2018-22).</t>
  </si>
  <si>
    <t>Rio Sono</t>
  </si>
  <si>
    <t>ANTONIO FLAVIO AIRES DOS SANTOS</t>
  </si>
  <si>
    <t>FAZENDA CAMPO GRANDE</t>
  </si>
  <si>
    <t>52, unico DEC FEDERAL N. 6514/08.</t>
  </si>
  <si>
    <t>JL40LVG0</t>
  </si>
  <si>
    <t>EXPORTAR 904 PEIXES ORNAMENTAIS EM DESACORDO COM A AUTORIZAÇÃO DO IBAMA, COM N° LPCO ERRADO. AWB 176 7249 3805.</t>
  </si>
  <si>
    <t>TIM FISH IMPORTAÇÃO E EXPORTAÇÃO EIRELI EPP</t>
  </si>
  <si>
    <t>10°, . INI MMA MPA 001/2012.</t>
  </si>
  <si>
    <t>OKZ9PH5F</t>
  </si>
  <si>
    <t>INTRODUZIR 01 (UMA) CABEÇA DE CROCODILUS POROSUS, ANIMAL SILVESTRE EXÓTICO SEM PARECER TÉCNICO OFICIAL E LICENÇA EXPEDIDA PELO IBAMA.</t>
  </si>
  <si>
    <t>FABIO JOSÉ ROMÃO E SILVA</t>
  </si>
  <si>
    <t>25 II Decreto 6514; 70 1º Lei 9605; 72 Lei 9605; 3º II Decreto 6514.</t>
  </si>
  <si>
    <t>2°, III Decreto 3.697/2000.</t>
  </si>
  <si>
    <t>0EEFHG31</t>
  </si>
  <si>
    <t>Apresentar informação falsa em sistemas federais, referente a declaração de corte de árvores replicadas do Plano de Manejo Florestal n. xxx no SINAFLOR e a inserção de créditos irregular dessas árvores replicadas no Sistema DOF.</t>
  </si>
  <si>
    <t>JEAN RAFAEL SIQUEIRA DOS SANTOS</t>
  </si>
  <si>
    <t>PMFS do Sr. xxx, Autex n. xxx, Retiro Verás Galvão, Ramal Nov</t>
  </si>
  <si>
    <t>EXP ORIGEM II</t>
  </si>
  <si>
    <t>66, - IN IBAMA 21/2014.</t>
  </si>
  <si>
    <t>145FJ9UL</t>
  </si>
  <si>
    <t>IMPORTAR AGROTÓXICO COM RÓTULO (NOME DO FABRICANTE) EM DESACORDO COM AS EXIGÊNCIAS DO DECRETO 4.074/2002, AWB 020 2130 8103.</t>
  </si>
  <si>
    <t>RAINBOW DEFENSIVOS AGRICOLAS LTDA</t>
  </si>
  <si>
    <t>OCRIF70W</t>
  </si>
  <si>
    <t>Apresentar informação enganosa em sistema federal - SINAFLOR, referente a inserção de planilha padrão do inventário florestal do Plano de Manejo Florestal n. xxx, contendo árvores/indivíduos replicados.</t>
  </si>
  <si>
    <t>VIVIANE MIYAMURA LOCH</t>
  </si>
  <si>
    <t>PMFS do Sr. xxx, Autex n. xxx, Retiro Verás Galvão, Ramal Nova Jerusalém, lote 79</t>
  </si>
  <si>
    <t>DOF ORIGEM II</t>
  </si>
  <si>
    <t>70 1° Lei 9605/98; 72 Lei 9605/98; 3 II 82 Decreto 6514/2008.</t>
  </si>
  <si>
    <t>66, - IN IBAMA n. 21/2014.</t>
  </si>
  <si>
    <t>5YLGABA9</t>
  </si>
  <si>
    <t>Transportar 14 st de lenha originaria do bioma Caatinga sem licença válida para todo tempo da viagem, outorgada pela autoridade competente.</t>
  </si>
  <si>
    <t>Carira</t>
  </si>
  <si>
    <t>Jose Josivaldo Ferreira Bispo</t>
  </si>
  <si>
    <t>Estrada que liga a BR 235 ao povoado Altos Verdes, Carira</t>
  </si>
  <si>
    <t>CAS MIFRATORIUS II</t>
  </si>
  <si>
    <t>47 3º Decreto 6514; 70 1º Lei 9605; 72 Lei 9605; 3º II Decreto 6514; 3º IV Decreto 6514.</t>
  </si>
  <si>
    <t>3RSOUF9A</t>
  </si>
  <si>
    <t>Desmatar 11,55 hectares de vegetação nativa, bioma cerrado, na fazenda Santo Expedito, ID 2019RMOS000000011, no município de Estreito-Ma, sem autorização da autoridade competente.</t>
  </si>
  <si>
    <t>Alba Tânia Fonseca de Abreu Cunha</t>
  </si>
  <si>
    <t>Fazenda Santo Expedito Município de Estreito-Ma.</t>
  </si>
  <si>
    <t>AUIF5TNT</t>
  </si>
  <si>
    <t>Instalar loteamento em desacordo com a licença obtida (licença vencida).</t>
  </si>
  <si>
    <t>FEVISA FAZENDAS ERNANI VIANA S/A</t>
  </si>
  <si>
    <t>Loteamento Japuara, Caucaia-CE, próximo ao Garrote Village.</t>
  </si>
  <si>
    <t>XPYXNURY</t>
  </si>
  <si>
    <t>IMPORTAR AGROTÓXICO COM RÓTULO (NOME DO FABRICANTE) EM DESACORDO COM AS EXIGÊNCIAS DO DECRETO 4.074/2002, AWB 057 8756 5531.</t>
  </si>
  <si>
    <t>JGFEOXA2</t>
  </si>
  <si>
    <t>CROPCHEM LTDA.</t>
  </si>
  <si>
    <t>3YNI698O</t>
  </si>
  <si>
    <t>Destruir com uso de trator  42,00 hectares de floresta secundária em estagio sucessional avançado, sem autorização do órgão ambiental competente, nas coordenadas geográficas 69°09'21 S e 10°40'00" W e 69° 09'57" S e 10°39'27 W.</t>
  </si>
  <si>
    <t>Brasiléia</t>
  </si>
  <si>
    <t>Ana Maria Leite</t>
  </si>
  <si>
    <t>Br 317, sentido Brasiléia/Assis Brasil, Ramal do Alemão, Fazenda Santa Lúcia S.A.</t>
  </si>
  <si>
    <t>NO95B08C</t>
  </si>
  <si>
    <t>Deixar de atender a condicionante 1.1, estabelecida na Licença de Operação n° 1230/2014.</t>
  </si>
  <si>
    <t>Parque das Baleias - Bacia de Campos</t>
  </si>
  <si>
    <t>VTN5UB3K</t>
  </si>
  <si>
    <t>DANIFICAR 34,91 HECTARES DE VEGETAÇÃO NATIVA DO CERRADO, LOCALIZADA FORA DA RESERVA LEGAL, SEM APROVAÇÃO PRÉVIA DO ÓRGÃO AMBIENTAL COMPETENTE, NA FAZENDA SÃO LUIS.</t>
  </si>
  <si>
    <t>Sítio Novo</t>
  </si>
  <si>
    <t>ANTÔNIO FONSECA DOS SANTOS FILHO</t>
  </si>
  <si>
    <t>Fazenda São Luis - Zona Rural - Sítio Novo - MA</t>
  </si>
  <si>
    <t>ZKLS8QNM</t>
  </si>
  <si>
    <t>Desmatar a corte raso 9,05 hectares de área de Cerrado fora da Reserva Legal, sem autorização da autoridade ambiental competente, de ID 2018KML000026, conforme mapa de alteração de cobertura vegetal.</t>
  </si>
  <si>
    <t>Cutias</t>
  </si>
  <si>
    <t>PROCOPIO TAVARES SARMENTO.</t>
  </si>
  <si>
    <t>Ramal de acesso a Comunidade de Alta Floresta - Retiro Água Branca - Município de Cutias do Araguari-AP</t>
  </si>
  <si>
    <t>26, Caput 12.651/12.</t>
  </si>
  <si>
    <t>EWJ91KHB</t>
  </si>
  <si>
    <t>Transportar 42 metros cúbicos de madeira serrada, sendo 10,111 metros cúbicos da essência Itaúba e 32,21 metros cúbicos vida essência Ipê, sem licença outorgada pela autoridade ambiental competente. Meio de transporte: caminhão SR/Guerra Placa JWA5389.</t>
  </si>
  <si>
    <t>E DOS S SOUZA INDUSTRIA E COMERCIO DE MADEIRAS</t>
  </si>
  <si>
    <t>PA 370</t>
  </si>
  <si>
    <t>DOF FLORESTA FLORIDA</t>
  </si>
  <si>
    <t>NM0QE3RY</t>
  </si>
  <si>
    <t>Ter em depósito 0,6379m3 de madeira serrada/Resíduo sendo 0,5011m3 de Angelim Pedra e 0,1368m3 de Itaúba, sem licença outorgada pela autoridade competente.</t>
  </si>
  <si>
    <t>Marituba</t>
  </si>
  <si>
    <t>Bela Vista Com. Mad. Ltda</t>
  </si>
  <si>
    <t>Avenida João Paulo II, S/N, bairro D. Aristídes.
CEP 67200-000</t>
  </si>
  <si>
    <t>7XJEHSBN</t>
  </si>
  <si>
    <t>Deixar de atender a exigências legais ou regulamentares (Notificação n° 676640 - E), quando devidamente notificado pela autoridade ambiental competente no prazo concedido, visando a adoção de medidas de controle para cessar a degradação ambiental.</t>
  </si>
  <si>
    <t>Confresa</t>
  </si>
  <si>
    <t>DEPARTAMENTO NACIONAL DE INFRA-ESTRUTURA DE TRANSPORTES</t>
  </si>
  <si>
    <t>Terra Indígena Urubu Branco</t>
  </si>
  <si>
    <t>2.4, . ASV xxx.</t>
  </si>
  <si>
    <t>6QYVB0VX</t>
  </si>
  <si>
    <t>Portar motosserra sem licença da autoridade ambiental competente.</t>
  </si>
  <si>
    <t>Cavalcante</t>
  </si>
  <si>
    <t>Edvan Florêncio Cardoso</t>
  </si>
  <si>
    <t>Fazenda Ouro Negro</t>
  </si>
  <si>
    <t>57 Decreto 6514; 70 1º Lei 9605; 72 Lei 9605; 3º II Decreto 6514.</t>
  </si>
  <si>
    <t>6R8E4YWB</t>
  </si>
  <si>
    <t>Deixar de atender, de forma reiterada e continua, a condicionante 2.4 estabelecida na Autorização de Supressão de Vegetação - ASV n° xxx.</t>
  </si>
  <si>
    <t>ARKY2W1T</t>
  </si>
  <si>
    <t>DEMATAR, A CORTE RASO, 40,60 HECTARES DE VEGETAÇÃO NATIVA DO CERRADO, FORA DA RESERVA LEGAL, SEM AUTORIZAÇÃO DA AUTORIDADE COMPETENTE, NA FAZENDA CABECEIRA DO RIO GRAJAÚ.</t>
  </si>
  <si>
    <t>São Pedro dos Crentes</t>
  </si>
  <si>
    <t>ISRAEL SOUSA CARDOSO</t>
  </si>
  <si>
    <t>FAZENDA CABECEIRA DO RIO GRAJAÚ, DATA MATINA, ZONA RURAL, MUNICÍPIO DE GRAJAÚ-MA.</t>
  </si>
  <si>
    <t>V678SWXS</t>
  </si>
  <si>
    <t>Ter em cativeiro 35 espécimes da fauna silvestre brasileira, sem autorização da autoridade ambiental competente</t>
  </si>
  <si>
    <t>MATEUS DE ANDRADE GOIS</t>
  </si>
  <si>
    <t>residência</t>
  </si>
  <si>
    <t>24 Inc. 1,3 Decreto 6514/2008.</t>
  </si>
  <si>
    <t>XSON7LRC</t>
  </si>
  <si>
    <t>DESMATAR 9,00 HECTARES DE VEGETACAO DE CERRADO SEM AUTORIZAÇÃO DO NATURATINS.</t>
  </si>
  <si>
    <t>Sandolândia</t>
  </si>
  <si>
    <t>NAZARE GOMES MARTINS</t>
  </si>
  <si>
    <t>PA TAPIRASSU LOTE 19</t>
  </si>
  <si>
    <t>52, unico DEC FEDERAL 6514/08.</t>
  </si>
  <si>
    <t>G09MFXYN</t>
  </si>
  <si>
    <t>Transportar 24,595 m3 de madeira serrada, sem licença válida outorgada pela autoridade competente.</t>
  </si>
  <si>
    <t>Transportadora B F Ltda</t>
  </si>
  <si>
    <t>BR 153 - Posto da Polícia Rodoviária Federal - Porangatu-GO.</t>
  </si>
  <si>
    <t>OKLW0KY8</t>
  </si>
  <si>
    <t>Transportar 30,744 m3 de madeiras serrada, sem licença válida, outorgada pela autoridade competente.</t>
  </si>
  <si>
    <t>Francisco Cardoso dos Santos</t>
  </si>
  <si>
    <t>BR 153 - Polícia Rodoviária Federal - Porangatu-GO.</t>
  </si>
  <si>
    <t>3JUYF6M1</t>
  </si>
  <si>
    <t>Desmatar 254,854ha de vegetação tipo cerrado nativa e secundária em elevado estágio de regeneração sem autorização do órgão ambiental competente, na Fazenda Buritizal.</t>
  </si>
  <si>
    <t>Eli Silvério Xavier</t>
  </si>
  <si>
    <t>Fazenda Buritizal</t>
  </si>
  <si>
    <t>BWORAARZ</t>
  </si>
  <si>
    <t>Danificar 34,296 hectares de vegetação nativa campestre do bioma Pampa sem autorização do órgão ambiental competente.</t>
  </si>
  <si>
    <t>Santiago</t>
  </si>
  <si>
    <t>ROBISON ITAMAR PADILHA JANTSCH</t>
  </si>
  <si>
    <t>Monte Alegre</t>
  </si>
  <si>
    <t>DU5N2646</t>
  </si>
  <si>
    <t>Descumprir embargo em uma área de 16,4388 hectares de vegetação nativa referente ao Termo de Embargo n. 620608-E, processo 02047.001085/2015-27, com manuteção de pasto para bovinocultura, sem autorização do órgão ambiental competente. Coordenadas central: 03°46'29,20"S 50°04'13,59"W.</t>
  </si>
  <si>
    <t>NILTON CEZAR SANTOS FREITAS</t>
  </si>
  <si>
    <t>Fazenda Cesas. Ramal do Linhão. Gleba Nova Vida.</t>
  </si>
  <si>
    <t>JJEQ1EVO</t>
  </si>
  <si>
    <t>Impendir a regeneração natural em uma área de 16,4388 hectares de vegetação nativa referente ao Termo de Embargo n. 620608-E, processo 02047.001085/2015-27, sem autorização do órgão ambiental competente. Coordenadas central: 03°46'29,2S 50°04'13,59"W.</t>
  </si>
  <si>
    <t>GVLY6H3I</t>
  </si>
  <si>
    <t>Transportar 36,892m3 de madeira serrada (vigas e vigotas), sem licença válida, outorgada pela autoridade competente.</t>
  </si>
  <si>
    <t>Nelcy Batista Neri Rosa</t>
  </si>
  <si>
    <t>MZIR7PET</t>
  </si>
  <si>
    <t>Zeul Santo Almeida da Silva</t>
  </si>
  <si>
    <t>Área do Cerro</t>
  </si>
  <si>
    <t>V9YQWJT9</t>
  </si>
  <si>
    <t>Destruir uma área de 21,841 hectares de floresta nativa sem autorização do órgão ambiental competente. Coordenadas de referência central 1: 03°46'35,10"S 50°04'22,90"W; Central 2: 03°46'23,59"S 50°04'03,39W, na Fazenda Cesas.</t>
  </si>
  <si>
    <t>Gleba Nova Vida, Vicinal 238.</t>
  </si>
  <si>
    <t>101, . Decreto 6.514/2008..</t>
  </si>
  <si>
    <t>PYOUZ0Q8</t>
  </si>
  <si>
    <t>Danificar 120,12 hectares de vegetacao nativa Silvestre do bioma pampa sem a devida autorização do órgão ambiental competente. Área referente ao polígono SFA28</t>
  </si>
  <si>
    <t>Brasil Lancabova Gripa</t>
  </si>
  <si>
    <t>Vila Kramer - Fazenda Sta Rosa</t>
  </si>
  <si>
    <t>53 Decreto 6514; 70 1º Lei 9605; 72 Lei 9605; 3º II Decreto 6514.</t>
  </si>
  <si>
    <t>F8WY9YCB</t>
  </si>
  <si>
    <t>Danificar 60,8535 ha de vegetação nativa no Bioma Pampa sem autorização do órgão competente.</t>
  </si>
  <si>
    <t>Maicon Debiasi</t>
  </si>
  <si>
    <t>Rincão dos Cardoso</t>
  </si>
  <si>
    <t>L071LU5V</t>
  </si>
  <si>
    <t>Deixar aquele que tem obrigação, de dar destinação ambientalmente adequada a embalagens de agrotóxico, quando assim determina a lei ou ato normativo.</t>
  </si>
  <si>
    <t>EDISON ROCHA RUY</t>
  </si>
  <si>
    <t>Fazenda Córrego Guaxima, zona rural de Aracruz, ES</t>
  </si>
  <si>
    <t>62, VI Decreto 6514 de 2008; 6, 2o Lei 7802 de 1989.</t>
  </si>
  <si>
    <t>FJK7PULG</t>
  </si>
  <si>
    <t>Exercer a pesca na embarcação cristal IV, sem a prévia autorização do órgão competente.</t>
  </si>
  <si>
    <t>FLAVIO PEREIRA DE LIMA</t>
  </si>
  <si>
    <t>costa atlântica do estado do Amapá.</t>
  </si>
  <si>
    <t>Q3LZF5HX</t>
  </si>
  <si>
    <t>Danificar 69,5354 ha de vegetação nativa no Bioma Pampa sem autorização do órgão competente.</t>
  </si>
  <si>
    <t>Otávio Kulinski</t>
  </si>
  <si>
    <t>Florida - 3º Distrito</t>
  </si>
  <si>
    <t>QTQDTBP3</t>
  </si>
  <si>
    <t>Danificar 433,859 hectares de vegetação nativa campestre do bioma Pampa sem autorização do órgão ambiental competente.</t>
  </si>
  <si>
    <t>ANA HELENA BRAGA PIRES</t>
  </si>
  <si>
    <t>Rincão dos Antunes</t>
  </si>
  <si>
    <t>1UM2FSRP</t>
  </si>
  <si>
    <t>Danificar 138,2035 ha de vegetação nativa no Bioma Pampa sem autorização do órgão competente.</t>
  </si>
  <si>
    <t>JOÃO ROBERTO MACHADO KEMPA</t>
  </si>
  <si>
    <t>Fazenda da Palma</t>
  </si>
  <si>
    <t>8XROMAAY</t>
  </si>
  <si>
    <t>Destruir 23,12 hectares de floresta nativa Amazônica, objeto de especial preservação, com o uso de fogo e danificando espécies protegidas, Castanheiras, nas coordenadas geográficas de referência 03°43'38,7" S, 51°01'15" W, sem licença válida outorgada pela autoridade ambiental competente.</t>
  </si>
  <si>
    <t>CICERO FRANCISCO DO CARMO</t>
  </si>
  <si>
    <t>BR 230 KM 331 Vicinal Pão Doce KM 11,5</t>
  </si>
  <si>
    <t>60, I e Ii 6514.</t>
  </si>
  <si>
    <t>G82NJB5S</t>
  </si>
  <si>
    <t>Exercer a pesca sem a prévia licença do órgão competente, no barco pesqueiro Cristal VI.</t>
  </si>
  <si>
    <t>Flávio Pereira de Lima</t>
  </si>
  <si>
    <t>Costa Atlântica do Estado do Amapá.</t>
  </si>
  <si>
    <t>SHD02NG3</t>
  </si>
  <si>
    <t>Danificar 74,1937 hectares de vegetação nativa no Bioma Pampa sem autorização do órgão competente.</t>
  </si>
  <si>
    <t>Leonardo da Silva Kempa</t>
  </si>
  <si>
    <t>Fazenda Da Palma</t>
  </si>
  <si>
    <t>GT2OLBXT</t>
  </si>
  <si>
    <t>Dificultar a regeneração de 13,28 hectares de floresta nativa Amazônica, objeto de especial preservação, autuado o desmatamento nos autos do processo administrativo 2018.001082/2016-11, termo de Embargo TEI número 617428/E de 26/03/2016.</t>
  </si>
  <si>
    <t>REINALDO PEREIRA LIMA</t>
  </si>
  <si>
    <t>PA Pão Doce. Vicinal, 10 Km do eixo da BR 230 Sul.</t>
  </si>
  <si>
    <t>JBOKN0IZ</t>
  </si>
  <si>
    <t>Descumprir Embargo de 13,28 hectares de floresta nativa Amazônica autuada, embargo autuado nos autos do processo administrativo 02018.001082/2016-11, termo de Embargo número 617428-E.</t>
  </si>
  <si>
    <t>BR 230. KM 331. Vicinal Pão Doce, KM 10.</t>
  </si>
  <si>
    <t>CM0PBZUC</t>
  </si>
  <si>
    <t>Destruir, a corte raso, 63,623 hectares de floresta nativa, objeto de especial preservação, na Fazenda Dois Irmãos - São Félix do Xingu - PA, sem autorização ou licença da autoridade ambiental competente.</t>
  </si>
  <si>
    <t>Enisvaldo do Amaral Maciel</t>
  </si>
  <si>
    <t>Fazenda 2 Irmãos</t>
  </si>
  <si>
    <t>FVVTJ4PA</t>
  </si>
  <si>
    <t>Destruir, a corte raso, 56,91 hectares de floresta nativa, objeto de especial preservação, na Fazenda Três Anos I - Boca do Acre AM, sem autorização ou licença da autoridade ambiental competente.</t>
  </si>
  <si>
    <t>Ezila Gracieth Soares</t>
  </si>
  <si>
    <t>Fazenda Três Anjos I</t>
  </si>
  <si>
    <t>225, § 4° Constituição Federal 1988.</t>
  </si>
  <si>
    <t>BJLLAOQT</t>
  </si>
  <si>
    <t>Destruir, a corte raso,  119,224 hectares de floresta nativa, objeto de especial preservação, na Colônia Bela Vista - Lábrea AM, sem autorização ou licença da autoridade ambiental competente.</t>
  </si>
  <si>
    <t>Maria do Socorro Souza de Oriá</t>
  </si>
  <si>
    <t>Colônia Bela Vista</t>
  </si>
  <si>
    <t>VQZPC1MF</t>
  </si>
  <si>
    <t>Destruir, a casa raso, 60,805 hectares de floresta nativa, objeto de especial preservação, no Sitio Canela II - São Félix do Xingu PA, sem autorização ou licença da autoridade ambiental competente.</t>
  </si>
  <si>
    <t>Sidney Souza Barbosa</t>
  </si>
  <si>
    <t>Sítio Canela II</t>
  </si>
  <si>
    <t>G598B6GK</t>
  </si>
  <si>
    <t>Ter em cativeiro 2 espécimes de Trachemys dorbigniy (tigre d'água), sem autorização da autoridade ambiental competente (Boletim de Ocorrência Policial xxx).</t>
  </si>
  <si>
    <t>LEONARDO EUSTAQUIO DA COSTA PERES</t>
  </si>
  <si>
    <t>R Des. Continentino, 385</t>
  </si>
  <si>
    <t>24 I Decreto 6514; 24 III Decreto 6514; 70 1º Lei 9605; 72 Lei 9605; 3º I Decreto 6514.</t>
  </si>
  <si>
    <t>ZXW5T5Y2</t>
  </si>
  <si>
    <t>Danificar 75,9105 hectares de vegetação nativa campestre do bioma Pampa sem autorização do órgão ambiental competente.</t>
  </si>
  <si>
    <t>Rincão dos Fabrício</t>
  </si>
  <si>
    <t>WZ7Z5996</t>
  </si>
  <si>
    <t>Danificar 226,0276 ha de vegetação nativa no Bioma Pampa sem autorização do órgão competente.</t>
  </si>
  <si>
    <t>Edson Bianchini Salbego</t>
  </si>
  <si>
    <t>Fazenda Boa Vista -  Rincão dos Soares</t>
  </si>
  <si>
    <t>3EQJ04J8</t>
  </si>
  <si>
    <t>Executar extração de mineral (areia), em desacordo com a licença obtida.</t>
  </si>
  <si>
    <t>Zona Rural do município Caucaia, Fazenda Garrote.</t>
  </si>
  <si>
    <t>63 Decreto 6514; 70 1º Lei 9605; 72 Lei 9605; 3º II Decreto 6514; 3º VII Decreto 6514.</t>
  </si>
  <si>
    <t>0U6AW8Z7</t>
  </si>
  <si>
    <t>Destruir 256,538 hectares de vegetação nativa do bioma amazônia objeto de especial preservação consumado com o uso de fogo sem prévia autorização da autoridade ambiental competente, de acordo com indicativo 2418 e fiscalização realizada "in loco", no Ramal da Vicinal 300, Zona Rural do município de Portel, Estado do Pará, conforme memorial descritivo anexo ao processo</t>
  </si>
  <si>
    <t>ALCINO TARTAGLIA JUNIOR</t>
  </si>
  <si>
    <t>Imóvel (Fazenda) situado no Ramal da Vicinal 300 (área de Elmo Balbinot), Zona Rural do município de Portel, Estado do Pará</t>
  </si>
  <si>
    <t>50 Decreto 6514; 60 I Decreto 6514; 70 1º Lei 9605; 72 Lei 9605; 3º II Decreto 6514; 3º VII Decreto 6514.</t>
  </si>
  <si>
    <t>225, 4 Constituição Federal de 1988.</t>
  </si>
  <si>
    <t>U93QT7X5</t>
  </si>
  <si>
    <t>Danificar 197,8406 hectares de vegetação nativa campestre do bioma Pampa sem autorização do órgão ambiental competente.</t>
  </si>
  <si>
    <t>CM9OW4JT</t>
  </si>
  <si>
    <t>Danificar 36,3954 ha de vegetação nativa campestre do bioma Pampa sem autorização do órgão ambiental competente.</t>
  </si>
  <si>
    <t>JULIO CESAR MARTINS DA SILVA</t>
  </si>
  <si>
    <t>O2GZHXG9</t>
  </si>
  <si>
    <t>Deixar de atender a exigências legais ou regulamentares (especificadas na Renovação de Licença de Instalação n° 615/2009), quando devidamente notificado pela autoridade ambiental competente no prazo concedido, visando à adoção de medidas de controle para cessar a degradação ambiental.</t>
  </si>
  <si>
    <t>Sede do Dnit</t>
  </si>
  <si>
    <t>70 § 1 72 Lei 9605/98; 3 II 80 Decreto 6514/2008.</t>
  </si>
  <si>
    <t>condicionantes de LI, 2.5 e 2.8 RLI 605/2009.</t>
  </si>
  <si>
    <t>- TER EM DEPÓSITO 105,7928 M³ DE MADEIRA EM TORA SEM COBERTURA DE DOCUMENTO DE ORIGEM FLORESTAL (DOF).</t>
  </si>
  <si>
    <t>Manacapuru</t>
  </si>
  <si>
    <t>EXTRAMAR EXTRACÃO DE MADEIRAS REGIONAIS LTDA</t>
  </si>
  <si>
    <t>AM 070 KM 78, ESTRADA DA UTL, Nº 1.357, MANACAPURÚ/AMAZONAS.</t>
  </si>
  <si>
    <t>70 §1º 72 II, IV Lei 9605/98; 47 §1º Decreto 6514/2008.</t>
  </si>
  <si>
    <t>Apresentar informação falsa no sistema oficial  de controle do IBAMA.
364,6154 m3 de maderia, sendo:
8,8835 m3 de madeira serrada e 355,7319 m3 de madeira em tora.</t>
  </si>
  <si>
    <t>BR 070, KM 78 - ESTRADA DA UTL, Nº 1.357</t>
  </si>
  <si>
    <t>70 1º II Lei 9605/98; 72 II Decreto 6514/2008.</t>
  </si>
  <si>
    <t>SYTJR58D</t>
  </si>
  <si>
    <t>Apresentar informação falsa no sistema oficial de controle DOF, referente ao precedimento administrativo de recebimento de 03 (três) guias florestais ideologicamente falsas(resíduos para apreveitamento industrial, ano 2015), equivalente à 6,7440 M3 de madeira serrada.</t>
  </si>
  <si>
    <t>Alfa Madeiras &amp; Artefatos Ltda</t>
  </si>
  <si>
    <t>Av. José de M. Lima - Centro</t>
  </si>
  <si>
    <t>82 Decreto 6514; 70 1º Lei 9605; 72 Lei 9605; 3º II Decreto 6514; 3º VI Decreto 6514.</t>
  </si>
  <si>
    <t>NO59Q9Q5</t>
  </si>
  <si>
    <t>Danificar 155,90 hectares de vegetação nativa típica do bioma cerrado na Fazenda Ilha do Furo ID 2019DCD000000733Z, no município de Carolina-Ma sem aprovação prévia do órgão ambiental competente.</t>
  </si>
  <si>
    <t>Carolina</t>
  </si>
  <si>
    <t>Paulo Ernani Miranda Ortegal</t>
  </si>
  <si>
    <t>Fazenda Ilha do Furo-Zona Rural- Município de Carolina-Ma</t>
  </si>
  <si>
    <t>EUROQTYJ</t>
  </si>
  <si>
    <t>Destruir a corte raso 108,764 hectares de vegetação nativa, Bioma Amazônico, objeto de especial preservação, sem licença ou autorização do órgão ambiental competente. Ato consumado mediante uso de fogo.
ID 2379.</t>
  </si>
  <si>
    <t>As de Outros Indústria e Comércio de Produtos Florestais Eireli.</t>
  </si>
  <si>
    <t>Imóvel Rural não identificado nominalmente, localizado na Vicinal 6, Gleba Carajás, Zona Rural do município de Novo Repartimento, estado do Pará,</t>
  </si>
  <si>
    <t>225, 4 CFB.</t>
  </si>
  <si>
    <t>K2L5RBK0</t>
  </si>
  <si>
    <t>Dificultar a regeneração natural de 33,99 hectares de floresta nativa em área especialmente protegida, embargada conforme termo de Embargo número 37414 de 39/07/2016. Compreendendo as coordenadas geográficas de referência 04°16'27" S, 50°41'46,3" W, conforme carta imagem juntada no processo administrativo 02018.002299/2016-49.</t>
  </si>
  <si>
    <t>PEDRO ALONSO MAGENSKI</t>
  </si>
  <si>
    <t>Vicinal Tuerê. 60 KM do eixo da BR 230. margem esquerda do Rio Pacajá.</t>
  </si>
  <si>
    <t>FW7P3T5D</t>
  </si>
  <si>
    <t>Descumprir Embargo de 33,99 hectares de área de floresta nativa Amazônica desmatada ilegalmente, conforme processo administrativo 02018.002299/2016-49, Termo de Embargo número 37414/E de 29/07/2016. Coordenadas de referência 04° 16'27" S, 050°41'46,3" W.</t>
  </si>
  <si>
    <t>Estrada do Tuerê. 60 KM do eixo da BR 230. Margem esquerda do Rio Pacajá.</t>
  </si>
  <si>
    <t>70 1° 72 Lei 9605/98; 3 II 79 Decreto 6514/2008.</t>
  </si>
  <si>
    <t>4M46G9CX</t>
  </si>
  <si>
    <t>Destruir 16,4388 hectares de floresta nativa na Amazônia sem autorização do órgão ambiental competente, estando relacionada com a área embargada, conforme Termo de Embargo n. 620608-E lavrado anteriormente em desfavor de pessoa não identificada, nos termos do proc. 02047.001085/2015-27. Coordenadas central 03°46'29,2"S 50°04'13,59"W.</t>
  </si>
  <si>
    <t>Fazenda Cesas.</t>
  </si>
  <si>
    <t>X242C9Z7</t>
  </si>
  <si>
    <t>Destruir uma área de 1,47ha de vegetação nativa, no Bioma Amazônico, objeto de especial preservação, nas coordenadas 04°53'25.97'S - 50°29'38.58"W.</t>
  </si>
  <si>
    <t>PA Rio Gelado (Progresso), Gleba 1, Lote 243,
Vicinal Quatro, 45 -
Zona Rural, Novo Repartimento/PA</t>
  </si>
  <si>
    <t>4S7SAYE1</t>
  </si>
  <si>
    <t>Danificar 2680,53 hectares de floresta nativa no bioma da Amazônia legal, objeto de especial preservação, sem licença da autoridade ambiental competente, no ID_OPER19 IDENT_POL2_2019AWS000024870 Imagem_sat-2019, às coordenadas geográficas centrais: 3° 35' 14,69" S e 48° 23' 48,39" W. MUN_LOC-PARAGOMINAS.</t>
  </si>
  <si>
    <t>FERMINO GUIDINI</t>
  </si>
  <si>
    <t>Fazenda Guaraci II</t>
  </si>
  <si>
    <t>NOPI4QV2</t>
  </si>
  <si>
    <t>Destruir 33,99 hectares de floresta nativa Amazônica, objeto de especial preservação, compreendendo as coordenadas geográficas de referência 04°26'37,5" S, 50° 41'46,3" W, sem autorização da autoridade ambiental competente.</t>
  </si>
  <si>
    <t>Estrada do Tuerê, a 60 KM do eixo da BR 230, pela vicinal da Vila do 6, margem esquerda do Rio Pacajá.</t>
  </si>
  <si>
    <t>DES APOIO PHOENIX PA</t>
  </si>
  <si>
    <t>70 § 1 72 Lei 9605/98; 3 II, VII 50 § 2 Decreto 6514/2008.</t>
  </si>
  <si>
    <t>0DOH33BM</t>
  </si>
  <si>
    <t>Destruir 485,374 hectares de vegetação nativa do bioma amazônia objeto de especial preservação consumado com o uso de fogo sem prévia autorização da autoridade ambiental competente de acordo com indicativo 2378 e fiscalização realizada"in loco"</t>
  </si>
  <si>
    <t>ANAMÃ INDUSTRIA E COMERCIO DE MADEIRAS LTDA</t>
  </si>
  <si>
    <t>Imóvel (Fazenda)  situado na Zona Rural, 
Vicinal 6 Gleba Carajás
Município de Novo Repartimento, Estado do Pará</t>
  </si>
  <si>
    <t>60, I Decreto Federal 6514/08; 225, 4 Constituição Federal 1988.</t>
  </si>
  <si>
    <t>KHWS0CPO</t>
  </si>
  <si>
    <t>Destruir 1040,38 hectares de floresta nativa Amazônica, objeto de especial preservação, ilegalmente, sem autorização ou licença da autoridade ambiental competente, compreendendo as coordenadas geográficas de referência 04°17'12"S, 50°44'52"W, conforme espacializado em cartas imagens, parte do presente processo.</t>
  </si>
  <si>
    <t>João Batista Mageski</t>
  </si>
  <si>
    <t>Vicinal Tuerê, 60 KM do eixo da BR 230. coordenadas 04°17'12" 50°44'52".</t>
  </si>
  <si>
    <t>AD10KJZD</t>
  </si>
  <si>
    <t>Desmatar 14,531ha de vegetação nativa tipo cerrado no lote 14 do PA Tapirassu, sem autorização do órgão ambiental competente.</t>
  </si>
  <si>
    <t>Evandro Faria Teixeira</t>
  </si>
  <si>
    <t>P.A Tapirassu</t>
  </si>
  <si>
    <t>M7T51OW2</t>
  </si>
  <si>
    <t>Descumprir Embargo - Termo de Embargo n° 37411-E, de 29/07/2016 - com a continuidade de atividades, pecuária, que impedem a regeneração da vegetação nativa, coordenadas geográficas de referência 04°16'18" S, 50°44'07"W.</t>
  </si>
  <si>
    <t>Vicinais Gleba Carajás. Pela vicinal Tuere, 50 Km do eixo da BR 230.</t>
  </si>
  <si>
    <t>6G8BG898</t>
  </si>
  <si>
    <t>Dificultar a regeneração natural de 114,07 hectares de floresta nativa destruída ilegalmente, com embargos da atividade que impede a regeneração natural, conforme Termo de Embargo TEI n° 37411/E de 29/07/2016.</t>
  </si>
  <si>
    <t>Vicinal Tuerê, 50 KM do eixo da BR 230.</t>
  </si>
  <si>
    <t>FQD8ZK4O</t>
  </si>
  <si>
    <t>Apresentar informação falsa no sistema oficial de controle dof referente ao procedimento administrativo de recebimento de 5 guias florestais ideologicamente falsas (resíduo para aproveitamento industrial ano 2015)</t>
  </si>
  <si>
    <t>S R DE MELO ME</t>
  </si>
  <si>
    <t>povoado camurupim BR-402, n° 04 município de Luis correria/PI, CEP: 64.220-000</t>
  </si>
  <si>
    <t>HJ421ZI0</t>
  </si>
  <si>
    <t>Destruir 176 hectares de mata nativa, objeto de especial preservação do bioma Amazônico dentro da Reserva Extrativista ( RESEX), sem autorização do órgão ambiental competente. conforme: ID_78415, 79891.</t>
  </si>
  <si>
    <t>Penalidade pecuniária - Unidades de conservação</t>
  </si>
  <si>
    <t>Unidade de Conservação</t>
  </si>
  <si>
    <t>Nova Mamoré</t>
  </si>
  <si>
    <t>Infração de Unidades de Conservação(Não Classificada-Móvel)</t>
  </si>
  <si>
    <t>MARCOS MENESES DOS SANTOS</t>
  </si>
  <si>
    <t>Ramal Soldado da borracha km 43 Até Resex do Rio Ouro Preto</t>
  </si>
  <si>
    <t>93 Decreto 6514/2008; 50 Decreto 6514/2008.</t>
  </si>
  <si>
    <t>K8EB820G</t>
  </si>
  <si>
    <t>Receber, para fins comerciais, 8,022 M3  de madeira serrada de essências, sem exigir a licença DOF do vendedor outorgada pela autoridade competente.</t>
  </si>
  <si>
    <t>M DO S P LIMA MATERIAL DE CONSTRUCAO</t>
  </si>
  <si>
    <t>Av. Doutor João Silva Filho, 1425 - Bairro Planalto Monte Serrat</t>
  </si>
  <si>
    <t>XNSAUCOD</t>
  </si>
  <si>
    <t>Capacidade aparente</t>
  </si>
  <si>
    <t>Descumprir em ouro área de 23 88há em propriedade sem
denominação, referente ao TEI n" 11247-E, relacionado ao
processo 02047.000413/2015-78 nas Coordenadas Geográfico
central Lat. 04 2441"S Lona. 50 3749W.</t>
  </si>
  <si>
    <t>JOSE BATISTA PEIXOTO</t>
  </si>
  <si>
    <t>Zona rural.</t>
  </si>
  <si>
    <t>ROTINA X SUPES-PA</t>
  </si>
  <si>
    <t>70 I 72 Lei 9605/98; 3 II Lei 9605/98; 79 Decreto 6514/2008.</t>
  </si>
  <si>
    <t>P0YHMCJP</t>
  </si>
  <si>
    <t>Multa diária</t>
  </si>
  <si>
    <t>Deixar de atender as condicionantes 2.5 e 2.8 estabelecidas na Renovação da Licença de Instalação n° 615/2009.</t>
  </si>
  <si>
    <t>66 Decreto 6514; 70 1º Lei 9605; 72 Lei 9605; 3º III Decreto 6514.</t>
  </si>
  <si>
    <t>OASLEUCY</t>
  </si>
  <si>
    <t>Impedir a Regeneração Natural em uma área de 13,79ha, referente ao TEI n°611236-E, Processo Administrativo 02947.000377/2015-42, nas coordenadas 04°53'25.97"S - 50°29'38.58"W.</t>
  </si>
  <si>
    <t>CQC1V60K</t>
  </si>
  <si>
    <t>Desmatar 6,3982ha de cerrado nativa no lote 28, localizado no P.A. Tapirassu sem autorização ambiental.</t>
  </si>
  <si>
    <t>Silvia Alves Costa</t>
  </si>
  <si>
    <t>P.A-Tapirassu</t>
  </si>
  <si>
    <t>CERRADO LEGAL  - EMB</t>
  </si>
  <si>
    <t>70 § 1 72 Lei 9605/98; 3 II 52 Decreto 6514/2008.</t>
  </si>
  <si>
    <t>6IIXQL5W</t>
  </si>
  <si>
    <t>Ter em depósito 33,3011m3 de madeira das espécies IPE/Tora (2,3787m3), ITAUBA/Serrada (29,9634m3) e JATOBA/Serrada (0,9590m3) sem licença outorgada pelo órgão ambiental competente.</t>
  </si>
  <si>
    <t>B &amp; B INDUSTRIA DE MADEIRA LTDA-EPP</t>
  </si>
  <si>
    <t>Estrada do Outeiro, Setor B, Quadra 4, Lote 13
Distrito Industrial de Icoaraci</t>
  </si>
  <si>
    <t>H6UQW94N</t>
  </si>
  <si>
    <t>Impedir a regeneração natural em uma área de 23,88ha de floresta, referente ao TEI n°. 611247-E, relacionado ao processo administrativo 02047.000413/2015-78, com coordenadas geográficas centrais Lat. 04°21'42"S Long° 50°37'43"W., na região do Tuerê,</t>
  </si>
  <si>
    <t>Novo Repartimento/PA</t>
  </si>
  <si>
    <t>70 I 72 Lei 9605/98; 3 II 48 Lei 9605/98.</t>
  </si>
  <si>
    <t>NBV95PYT</t>
  </si>
  <si>
    <t>Apresentar informação falsa ao omitir em sistema oficial de controle (SISPASS) a transferência do espécime portador da anilha IBAMA OA 3,0 146287, da espécie Oryzoborus maximiliani (bicudo) conforme constatado em vistoria realizada em xxx.</t>
  </si>
  <si>
    <t>Foz do Iguaçu</t>
  </si>
  <si>
    <t>INACIO PATRICIO</t>
  </si>
  <si>
    <t>IBAMA U T 2 Nivel Foz do Iguaçu</t>
  </si>
  <si>
    <t>10, 2 IN IBAMA 10/2011.</t>
  </si>
  <si>
    <t>LQP5Q0V2</t>
  </si>
  <si>
    <t>Destruir 114,07 hectares de floresta nativa Amazônica, compreendendo as coordenadas geográficas de referência 04° 16' 18" S, 050° 44' 07" W, conforme termo de embargo 37411/E, sem autorização da autoridade ambiental competente.</t>
  </si>
  <si>
    <t>Vicinal Tuere, 50 km do eixo da BR 230</t>
  </si>
  <si>
    <t>70 § 1 72 II,IV Lei 9605/98; 3º 50 Decreto 6514/2008.</t>
  </si>
  <si>
    <t>6H97EBN6</t>
  </si>
  <si>
    <t>Descumprir o Embargo em uma área de 13,79ha, referente ao TEI n°611236-E, processo administrativo 02047.000377/2015-42, coordenadas 04°53'25.97"S - 50°29'38.58"W.</t>
  </si>
  <si>
    <t>PA Rio Gelado(Progresso) Gleba 1, Lote 243.
Vicinal Quatro, 45
Zona Rural, Novo Repartimento/PA</t>
  </si>
  <si>
    <t>CYQY2KGN</t>
  </si>
  <si>
    <t>Vender 8,022 M3 de madeira serrada de essências diversas, sem licença DOF outorgada pela autoridade competente.</t>
  </si>
  <si>
    <t>Cocal</t>
  </si>
  <si>
    <t>MARIA DEMIR DE SOUSA BRITO ME</t>
  </si>
  <si>
    <t>ROD. PI 211, Bairro Santa Teresinha - Cocal- PI</t>
  </si>
  <si>
    <t>R1KKXJJG</t>
  </si>
  <si>
    <t>Patrimônio comprovado</t>
  </si>
  <si>
    <t>Destruir uma área de 23,88há de floresta nativa, da região
Amazônica, objeto de especial preservação ? no município de
Novo Repartimento nas Coordenados Georá1ica central Lat.
0421'42'5 Long 537'43W, sem autorização da autoridade
cxiiental competente. Obs.EAte4uto depJnfração abrange a
área 23 88há embargada atrav4TEI n611247-E datado de
15/05/2015, processo 02047.03/2@15-8conforme mapa da
ool iaonal anexo</t>
  </si>
  <si>
    <t>JUIZO FINAL IX MAB</t>
  </si>
  <si>
    <t>70 I 72 Lei 9605/98; 3 II,VII 50 Lei 9605/98.</t>
  </si>
  <si>
    <t>D8DIKSQM</t>
  </si>
  <si>
    <t>Destruir 245,30 hectares de vegetação nativa, na região amazônica objeto de especial preservação, consumado mediante uso de fogo, sem autorização da autoridade ambiental competente</t>
  </si>
  <si>
    <t>Cleyton Augusto de Jesus</t>
  </si>
  <si>
    <t>Conforme Coordenadas acima.</t>
  </si>
  <si>
    <t>60, I 6.514/2008; 225, 4 Constituição Federal de 1988.</t>
  </si>
  <si>
    <t>RRBE5W3Q</t>
  </si>
  <si>
    <t>EXECUTAR EXTRAÇÃO DE MINERAIS, SEM LICENÇA DA AUTORIDADE AMBIENTAL COMPETENYE, NA TERRA INDÍGENA SARARE.</t>
  </si>
  <si>
    <t>JOSÉ GETÚLIO DOS SANTOS</t>
  </si>
  <si>
    <t>Terra Indígena Sarare</t>
  </si>
  <si>
    <t>FTACPM7Z</t>
  </si>
  <si>
    <t>EXECUTAR EXTRAÇÃO DE MINERAIS, SEM LICENÇA DA AUTORIDADE AMBIENTAL COMPETENTE, NA TERRA INDÍGENA SARARÉ</t>
  </si>
  <si>
    <t>BENEDITO COELHO DA COSTA</t>
  </si>
  <si>
    <t>TERRA INDÍGENA SARARÉ</t>
  </si>
  <si>
    <t>63 Decreto 6514/2008.</t>
  </si>
  <si>
    <t>3MF3EYZ5</t>
  </si>
  <si>
    <t>EXECUTAR EXTRAÇÃO DE MINERAIS, SEM LICENÇA DA AUTORIDADE AMBIENTAL COMPETENTE, NA TERRA INDÍGENA SARARÉ.</t>
  </si>
  <si>
    <t>Elias Alves dos Santos</t>
  </si>
  <si>
    <t>9TDTTORN</t>
  </si>
  <si>
    <t>ALBINO LEMOS DE AZEVEDO</t>
  </si>
  <si>
    <t>NV5QX7FF</t>
  </si>
  <si>
    <t>Executar extração de minerais  sem licença da autoridade ambiental competente na Terra Indígena Sararé.</t>
  </si>
  <si>
    <t>João Batista Niemicz</t>
  </si>
  <si>
    <t>WTHNWG93</t>
  </si>
  <si>
    <t>Lançar no meio ambiente resíduos sólidos in natura (pó de serraria), a céu aberto, em desacordo com as exigências estabelecidas em leis e atos normativos. Infração cometida em co-autoria com a empresa Serraria Lucas Ltda objeto do Auto de Infração SI2G4TXA.</t>
  </si>
  <si>
    <t>Lucas de Oliveira Loureiro</t>
  </si>
  <si>
    <t>Fazenda Miami</t>
  </si>
  <si>
    <t>62, X Decreto 6514/2008.</t>
  </si>
  <si>
    <t>5BVO1T9C</t>
  </si>
  <si>
    <t>Executar extração de minerais sem licença da autoridade ambiental competente na Terra Indígena Sararé</t>
  </si>
  <si>
    <t>LUIZ ANTONIO DE OLIVEIRA</t>
  </si>
  <si>
    <t>SI2G4TXA</t>
  </si>
  <si>
    <t>Lançar no meio ambiente resíduos sólidos in natura (pó de serraria), a céu aberto, em desacordo com as exigências estabelecidas em leis e atos normativos. Infração cometida em co-autoria com o Sr. Lucas de Oliveira Loureiro objeto do Auto de Infração WTHNWG93.</t>
  </si>
  <si>
    <t>SERRARIA LUCAS LTDA. - EPP</t>
  </si>
  <si>
    <t>UN1YGM49</t>
  </si>
  <si>
    <t>Fazer funcionar atividade potencialmente poluidora de carvoejamento vegetal em desacordo com a licença ambiental obtida. A Licença de Operação LO 11.187/2018 estabelece o funcionamento de no máximo 20 fornos e foi constatado pelo IBAMA o funcionamento de 30 fornos.</t>
  </si>
  <si>
    <t>Serraria Lucas Ltda</t>
  </si>
  <si>
    <t>G2MDH659</t>
  </si>
  <si>
    <t>Apresentar informação enganosa no sistema oficial de controle de produtos florestais (Sistema SISFLORA) em razão do volume virtual excedente de 527,63 m3 de madeira nativa, sendo 437,85 m3 de toras e 89,78 m3 de madeira serrada.</t>
  </si>
  <si>
    <t>41, 2 instrução normativa 21/2014.</t>
  </si>
  <si>
    <t>J1ZTFDGW</t>
  </si>
  <si>
    <t>Destruir uma área 13,79ha de vegetação nativa, no Bioma Amazônicos, objeto de especial preservação, nas coordenadas 04°53'25.97'S - 50°29'38.58"W.
Obs: Este Auto de Infração abrange a área de 13,79ha embargada através do TEI 611236-E, datado de 14/05/2015, Proc. 02047.000377/2015-42</t>
  </si>
  <si>
    <t>PA Rio Gelado, Gleba 1, Lote 243,
Vicinal Quatro, 45
Zona Rural, Novo Repartimento/PA</t>
  </si>
  <si>
    <t>1AGY61JL</t>
  </si>
  <si>
    <t>Ter em depósito o volume de 299,37 m3 de madeira de essências nativas, sendo 76,69 m3 de madeira serrada e 222,67 m3 de madeira em toras, sem licença válida (saldo de volume disponível no sistema SISFLORA) outorgada pela autoridade ambiental competente.</t>
  </si>
  <si>
    <t>Estrada Cauaxi/Bradesco, s/n - km. 140</t>
  </si>
  <si>
    <t>K584JUE4</t>
  </si>
  <si>
    <t>Destruir 6,27 (seis mais fração de vinte e sete) hectares de floresta ou demais formas de vegetação natural, com infringência das normas de proteção em área considerada de preservação permanente (APP), nas margens do rio Jamanxim, sem autorização ou licença do órgão ambiental competente. Agravante: com uso de fogo.</t>
  </si>
  <si>
    <t>Novo Progresso</t>
  </si>
  <si>
    <t>CLAUDIO FERNANDES</t>
  </si>
  <si>
    <t>Fazenda sem denominacai, CAR em nome xxx, zona rural de Novo Progresso. APP. Margem do rio Jamanxim.</t>
  </si>
  <si>
    <t>43 Decreto 6514; 60 I Decreto 6514; 70 1º Lei 9605; 72 Lei 9605; 3º II Decreto 6514; 3º VII Decreto 6514.</t>
  </si>
  <si>
    <t>4, I, c. Lei Federal 12651 de 2012..</t>
  </si>
  <si>
    <t>2VP9GZG3</t>
  </si>
  <si>
    <t>DEIXAR DE INSCREVER-SE NO CADASTRO TÉCNICO FEDERAL. CATEGORIA CÓDIGO 21-49 - TRANSPORTE DE PRODUTOS FLORESTAIS - LEI N. 12651/2012 ART. 36 (FLORA NATIVA).</t>
  </si>
  <si>
    <t>A DE C KAWAMURA</t>
  </si>
  <si>
    <t>Porto da Unirios Rodofluvial Com. Rua Araguarina, 177.</t>
  </si>
  <si>
    <t>76 Decreto 6514; 70 1º Lei 9605; 72 Lei 9605; 3º II Decreto 6514; 3º IX Decreto 6514.</t>
  </si>
  <si>
    <t>2FYKMWTR</t>
  </si>
  <si>
    <t>DESTRUIR 3.129,24 ha DE FLORESTA, OBJETO DE ESPECIAL PRESERVAÇÃO (BIOMA AMAZÔNICO), CONSUMADO MEDIANTE USO DE FOGO, SEM AUTORIZAÇÃO OU LICENÇA DA AUTORIDADE AMBIENTAL COMPETENTE, REFERENTE AO POLIGO ID 848 (ANEXO), DE COORD. GEOGRÁFICA 6°21'37" S 55°10'37"W.</t>
  </si>
  <si>
    <t>Altamira</t>
  </si>
  <si>
    <t>Alfeu Mucha</t>
  </si>
  <si>
    <t>Fazendas Pepita Grande I e II</t>
  </si>
  <si>
    <t>P5E0HYKB</t>
  </si>
  <si>
    <t>Destruir 132,17 hectares de floresta nativa, objeto de especial preservação, não passível de autorização para exploração ou supressão (Floresta Amazônica - ID 2638; Área referente ao polígono indicado na carta imagem anexa ao processo, com coordenadas geográficas centrais 07 00'54,4"S / 55 47'34,0"W, situada na Unidade de Conservação Floresta Nacional do Jamanxim).</t>
  </si>
  <si>
    <t>ALEXANDRE SOUTO ANDRADE</t>
  </si>
  <si>
    <t>Fazenda Baba-Boi, ME BR-163, km 1085, a 62 km pela Vicinal Santos Dumont.</t>
  </si>
  <si>
    <t>49 Decreto 6514; 60 I Decreto 6514; 60 II Decreto 6514; 93 Decreto 6514; 70 1º Lei 9605; 72 Lei 9605; 3º II Decreto 6514; 3º VII Decreto 6514.</t>
  </si>
  <si>
    <t>N56ERZ1Q</t>
  </si>
  <si>
    <t>Destruir com uso de fogo 126,29 hectares de floresta amazônica nativa, objeto de especial preservação, sem autorização da autoridade ambiental competente. ID 006.</t>
  </si>
  <si>
    <t>Fazenda de Cláudio Fernandes</t>
  </si>
  <si>
    <t>60, I 6514/2008.</t>
  </si>
  <si>
    <t>T67RUV28</t>
  </si>
  <si>
    <t>Destruir com uso do fogo 13,35 hectares de floresta amazônica nativa, objeto de especial preservação, sem autorização da autoridade ambiental competente.</t>
  </si>
  <si>
    <t>CLAUDINO GILMAR CESAR FERRETTO</t>
  </si>
  <si>
    <t>Fazenda Último Cartucho</t>
  </si>
  <si>
    <t>6V9O4NGI</t>
  </si>
  <si>
    <t>Desmatar, 9,0 Hectares de florestas de vegetação nativa objeto de especial preservação (Amazônia Brasileira), sem autorização do órgão ambiental competente.
Conforme carta imagem anexa ao processo.
ID n°: 32407.</t>
  </si>
  <si>
    <t>NELSON DE MORAIS</t>
  </si>
  <si>
    <t>Terceira Linha do Ribeirão, km 35</t>
  </si>
  <si>
    <t>225, Artigo 4° Constituição federal de 1988..</t>
  </si>
  <si>
    <t>HYQTN9CC</t>
  </si>
  <si>
    <t>Destruir vegetação nativa em área de 44,58 hectares localizada no bioma amazônico, objeto de especial preservação, sem autorização ou licença da autoridade ambiental competente.
Alerta ID 2019AWS000024813.
- Valor da multa aumentado pela metade em virtude do uso do fogo no cometimento da infração, conforme previsão do ART. 60 inciso I do Decreto 6.514/2008.</t>
  </si>
  <si>
    <t>AMADEU DE JESUS</t>
  </si>
  <si>
    <t>Projeto de Assentamento Urutum</t>
  </si>
  <si>
    <t>2HSJFDVM</t>
  </si>
  <si>
    <t>Destruir (desmatar) 27,00 há de floresta nativa em área de reserva legal sem autorização do Órgão ambiental competente, conforme carta imagem em anexo.</t>
  </si>
  <si>
    <t>NILSON DE LANDES</t>
  </si>
  <si>
    <t>Terceira Linha do Ribeirão, Km 35, Zona Rural do Município de Nova Mamoré - RO</t>
  </si>
  <si>
    <t>UZQ7CUG6</t>
  </si>
  <si>
    <t>Transportar volumetria de 18,768 m3 de madeira em toras sendo Goupia glaba 5,408 m3 Bagassa Guianensis 10,092 m3, Vatairea Guianensis 3,268 m3, sem licença válida para transporte (DOF),da autoridade ambiental competente. Conforme B.O xxx BOP/PRF xxx.</t>
  </si>
  <si>
    <t>GILBERTO LUIZ MONTAGNA</t>
  </si>
  <si>
    <t>BR 174 km 200 próximo do posto de gasolina Santa Julia do dia xxx as xxx</t>
  </si>
  <si>
    <t>W5FTWAFO</t>
  </si>
  <si>
    <t>Portar 2 motosserras sem numeração e sem licença da autoridade ambiental competente.</t>
  </si>
  <si>
    <t>Adilson da Costa Santos</t>
  </si>
  <si>
    <t>Fazenda Barra do Caldeirão</t>
  </si>
  <si>
    <t>1O3NDYSC</t>
  </si>
  <si>
    <t>Deixar de apresentar no cadastro técnico Federal-CTF, relatório anual do RAPP (Lei número 6938 de 1981: artigo 17-C) o relatório da Lei 10165, referente ao ano 2019/2018 não foi entregue no prazo exigido pela legislação.</t>
  </si>
  <si>
    <t>DIEGO FARIAS RODRIGUES</t>
  </si>
  <si>
    <t>Aeroporto Internacional de Viracopos, Rod. Santos Dumont, km-66.</t>
  </si>
  <si>
    <t>S5L97KTQ</t>
  </si>
  <si>
    <t>Deixar de apresentar no cadastro técnico Federal-CTF, relatório anual do RAPP (Lei 6938/1981: artigo 17-C) o relatório da Lei 10165, referente ao ano de 2019/2018 não foi entregue no prazo exigido pela legislação.</t>
  </si>
  <si>
    <t>CERAMICA ALMEIDA LTDA</t>
  </si>
  <si>
    <t>1NMAFQW9</t>
  </si>
  <si>
    <t>ALVES E CAPELLARI COMERCIO DE ARTEFATOS EM MDF LTDA - EPP</t>
  </si>
  <si>
    <t>VMNOP1HJ</t>
  </si>
  <si>
    <t>Destruir 9,145 Hectares de Floresta Nativa no Sitio L 3 lote 72 Gleba 50, Em Placas PA, objeto de especial preservação sem Autorização ou Licença da Autoridade Ambiental Competente.</t>
  </si>
  <si>
    <t>Salomão da Silva Alencar</t>
  </si>
  <si>
    <t>Sítio 3 L lote 72 Placas PA</t>
  </si>
  <si>
    <t>Q3H89SR2</t>
  </si>
  <si>
    <t>Ter em depósito 51,636 m3 de madeiras em (toras) in natura, nativas do bioma amazônico das essências diversas, sem licença valida outorgada pela autoridade ambiental competente. A Guia Florestal (GF).</t>
  </si>
  <si>
    <t>Marcelândia</t>
  </si>
  <si>
    <t>Denise Nunes da Silva</t>
  </si>
  <si>
    <t>Fazenda Santa Emilia (antiga Fazenda Maringá), na estrada Nova República, Km 90 Zona Rural no Município de Marcelândia/MT</t>
  </si>
  <si>
    <t>IIGQZFJX</t>
  </si>
  <si>
    <t>Destruir 796,06 há, de floresta nativa no bioma Amazônico, objeto de especial preservação, cominado com uso de fogo, sem licença outorgada pelo órgão ambiental competente, no polígono de Coordenadas centrais S 08º 40' 32" e W 66º 59' 51", de ID_DES_2019AWS000014556. Conforme mapa com análises temporal de imagens anexo ao processo.</t>
  </si>
  <si>
    <t>FERNANDO SPINA ORTIZ</t>
  </si>
  <si>
    <t>Fazenda do Sr. Fernando Spina Ortiz, zona rural de Larea/AM.
Coordenadas Geográficas S 08º 40' 32" e W 66º 59' 51".</t>
  </si>
  <si>
    <t>NVGQD9L1</t>
  </si>
  <si>
    <t>Apresentar informação falsa no sistema oficial de controle DOF referente ao procedimento administrativo de recebimento de 01(um) documento florestal ideologicamente falso (resíduo para aproveitamento industrial, ano 2015), conforme informação técnica n° xxx (sei xxx).</t>
  </si>
  <si>
    <t>HELVECIO RODRIGUES DE ARRUDA ME - MADEREIRA ARRUDA</t>
  </si>
  <si>
    <t>Rua Oswaldo Cruz número 2390 município de Parnaíba Piauí bairro Piauí</t>
  </si>
  <si>
    <t>VY6DWZ33</t>
  </si>
  <si>
    <t>Apresentar informação falsa no sistema oficial de controle DOF referente ao procedimento administrativo de recebimento de 11 Guias florestais ideologicamente falsas (do tipo resíduo para aproveitamento florestal ano 2015 ), observação: conforme a informação técnica n° xxx (sei xxx).</t>
  </si>
  <si>
    <t>CLAUDIO JOSE DOS SANTO ME</t>
  </si>
  <si>
    <t>Avenida deputado Pinheiro Machado, 2900, bairro Piauí no município de Parnaíba/PI, CEP: 64.208-335</t>
  </si>
  <si>
    <t>YZ1ZT8HD</t>
  </si>
  <si>
    <t>DESCUMPRIR TERMO DE SUSPENSÃO 1C12256G, OBJETO DO AUTO DE INFRAÇÃO ODE1XBAK. A EMPRESA FOI FLAGRADA FUNCIONANDO,PRODUZINDO GESSO NA MANHÃ DO DIA xxx.</t>
  </si>
  <si>
    <t>Ipubi</t>
  </si>
  <si>
    <t>A D B COSTA MATERIAL DE CONSTRUÇÃO</t>
  </si>
  <si>
    <t>GESSO ADB IPUBÍ PE</t>
  </si>
  <si>
    <t>LAG PANULIRUS I APOIO COFIS</t>
  </si>
  <si>
    <t>UDIXIQLF</t>
  </si>
  <si>
    <t>Apresentar informação enganosa em sistema federal (SINAFLOR), referente a inserção de planilha padrão do inventário florestal do Plano de Manejo Florestal n. xxx, contendo árvores/indivíduos duplicados.</t>
  </si>
  <si>
    <t>LUIZ FERNANDO DA CRUZ SILVA</t>
  </si>
  <si>
    <t>PMFS do Sr. xxx, P.A. Cedro, Lote 328</t>
  </si>
  <si>
    <t>FAV48N7Y</t>
  </si>
  <si>
    <t>Apresentar informação falsa no sistema oficial de controle DOF referente ao precedimento administrativo de recebimento de 03 (três) documentos de origem florestal ideologicamente falso (resíduos para apreveitamento industrial, ano 2016). equivalente à 8,8500 M3 de madeira serrada diversas.</t>
  </si>
  <si>
    <t>Cajueiro da Praia</t>
  </si>
  <si>
    <t>T.M. SOUSA DE CASTRO</t>
  </si>
  <si>
    <t>Av. Hermínio Caetano, 123 - Centro</t>
  </si>
  <si>
    <t>EZQJVEWF</t>
  </si>
  <si>
    <t>Danificar uma área de 277,20 hectares de vegetação nativa na Região Amazônica, considerada objeto de especial preservação, localizada nas coordenadas geográficas centrais  10° 49'30,792"S 53° 57' 20,036.
conforme mapa com análises temporal de imagens</t>
  </si>
  <si>
    <t>Colíder</t>
  </si>
  <si>
    <t>Fazenda Santa Emília, antiga Maringá ,na zona rural no município de Marcelândia KM 90.K</t>
  </si>
  <si>
    <t>VUGGG1G3</t>
  </si>
  <si>
    <t>Destruir a corte raso 160,11 hectares de vegetação nativa, Bioma Amazônico objeto de especial preservação, sem autorização ou licença da autoridade ambiental competente.
ID 2385.</t>
  </si>
  <si>
    <t>SERGIO ENRIQUE BONFIM</t>
  </si>
  <si>
    <t>Fazenda Paraíso, Vicinal 6, Gleba Carajás, Zona Rural.</t>
  </si>
  <si>
    <t>LHWHN7N3</t>
  </si>
  <si>
    <t>Apresentar informação falsa no sistema oficial de controle DOF referente ao precedimento administrativo de recebimento de (O6) seis documento de origem florestal ideologicamente falso (resíduos para aproveitamento de industrial , de 2016) equivalente à 37,9688 M3 de madeira serrada de essências diversas.</t>
  </si>
  <si>
    <t>J GOMES DE OLIVEIRA FILHO - ME</t>
  </si>
  <si>
    <t>Rua Tomé Pereira de Araújo, 1437 - Bairro  Planalto Monte Serrat - Parnaíba-PI.</t>
  </si>
  <si>
    <t>XCRBEM9X</t>
  </si>
  <si>
    <t>Pescar em local proibido (profundidades inferiores à 70 metros E ao norte do limite estabelecido pela IN SEAP 26/2008), com a embarcação VITÓRIA IC RGP SP 0003892.</t>
  </si>
  <si>
    <t>ISMAEL COELHO</t>
  </si>
  <si>
    <t>UT ITAJAÍ</t>
  </si>
  <si>
    <t>O9I1B5CN</t>
  </si>
  <si>
    <t>Destruir 162,837 há de vegetação nativa na Região Amazonica, consumado com uso de fogo, área considerada objeto de especial preservação, sem autorização do órgão ambiental competente, localizada no polígono de coordenadas centrais 11° 20' 12,54'' S e 55° 04' 07,23'' W, de ID 2600, conforme mapa com análise temporal de imagens.</t>
  </si>
  <si>
    <t>Juliane Cristina Maravai</t>
  </si>
  <si>
    <t>Estrada Camila, s/n, agrovila comunitária. ao lado da Associação dos produtores locais, zona  rural</t>
  </si>
  <si>
    <t>60 Inc. 1 Decreto 6514/2008; 50 § 2 Decreto 6514/2008.</t>
  </si>
  <si>
    <t>26, caput Lei 12.651/2012.</t>
  </si>
  <si>
    <t>0HOXZG2X</t>
  </si>
  <si>
    <t>Destruir 445,75 hectares de floresta ou qualquer tipo de vegetação nativa, objeto de especial preservação (Flona de Altamira), não passíveis de autorização para exploração ou supressão, consumada pelo uso do fogo. Coordenadas geográficas 6° 23' 26" S 54° 58' 24" W.</t>
  </si>
  <si>
    <t>FRANCISCO DOS REIS  DE MACÊDO</t>
  </si>
  <si>
    <t>Vicinal Diamantino, km 69 - Zona rural do município de Altamira/PA.</t>
  </si>
  <si>
    <t>49 Decreto 6514; 60 I Decreto 6514; 70 1º Lei 9605; 72 Lei 9605; 3º II Decreto 6514; 3º VII Decreto 6514.</t>
  </si>
  <si>
    <t>8M13QU3N</t>
  </si>
  <si>
    <t>Explorar, através de extração madeireira, área de 366,37 hectares localizada na reserva legal do imóvel Fazenda Alto Ipê 2 sem autorização prévia do órgão ambiental competente.</t>
  </si>
  <si>
    <t>ELDES ANTONIO DEPRA</t>
  </si>
  <si>
    <t>Fazenda Alto Ipê 2</t>
  </si>
  <si>
    <t>V9S2SDAF</t>
  </si>
  <si>
    <t>Transportar 351,5960 m3 de madeiras serradas das essências florestais Ipê, Maçaranduba e Angelim Vermelho, sem licença válida para todo o tempo da viagem outorgada pela autoridade competente; invalidados os DOF's apresentados devido a utilização de percurso diferente; omissão de veículo a ser informado e de acordo com demais informações junto ao Relatório de Fiscalização anexo.</t>
  </si>
  <si>
    <t>MAGDALÃO COMÉRCIO ATACADISTA DE MADEIRA E PRODUTOS DERIVADOS LTDA-ME</t>
  </si>
  <si>
    <t>Santarém-Pa, Rio Amazonas, margem direita,  área portuária da empresa Unirios Rodofluvial Ltda.</t>
  </si>
  <si>
    <t>26R6Z9FG</t>
  </si>
  <si>
    <t>Destruir 120,439 hectares de vegetação natina do Bioma Amazônico, objeto especial de preservação, consumado com o uso de fogo,sem prévia autorização da autoridade ambiental competente, de acordo com indicativo ID 2422, e Fiscalização in loco.</t>
  </si>
  <si>
    <t>GILVAN DIAS PEREIRA</t>
  </si>
  <si>
    <t>Vicinal Tuerê Km 180 Município de Novo Repartimento</t>
  </si>
  <si>
    <t>50, I Decreto Federal n. 6.514/2008; 60, I Decreto Federal n. 6.514/2008; 225, Parágrafo 4 Constituição Federal 1988.</t>
  </si>
  <si>
    <t>C272Q6KK</t>
  </si>
  <si>
    <t>Danificar, com exploração seletiva, 637,75 ha de vegetação nativa, objeto de especial preservação, sem autorização ou licença da autoridade ambiental competente. Polígono 2019AWS000040518.</t>
  </si>
  <si>
    <t>Tomé-Açu</t>
  </si>
  <si>
    <t>NOVACON REFLORESTADORA IND. E COM.DE MADEIRAS LTDA.</t>
  </si>
  <si>
    <t>Fazenda Lima-Novacon</t>
  </si>
  <si>
    <t>UR0VOUVQ</t>
  </si>
  <si>
    <t>Utilizar 5 espécimes da fauna silvestre em desacordo com a licença obtida. No caso o interessado reproduziu a ave de anilha IBAMA 03/04 2,2 006505 sem prévio requerimento de anilhas e obteve dois filhotes, bem como reproduziu a ave de anilha Sispass 2,2 SP/A 055354 em quantidade superior as anilhas requeridas.</t>
  </si>
  <si>
    <t>DEVANIR ALCANTARA DA SILVA</t>
  </si>
  <si>
    <t>Aeroporto de Viracopos. Autuação criador amador de passeriformes . Devanir Alcântara da Silva. Operação Delivery</t>
  </si>
  <si>
    <t>36, III, IV IN IBAMA 10/2011.</t>
  </si>
  <si>
    <t>91TRWDQZ</t>
  </si>
  <si>
    <t>Descumprir embargo de atividades e suas respectivas áreas.</t>
  </si>
  <si>
    <t>Junco do Seridó</t>
  </si>
  <si>
    <t>Carlos Antônio de Araújo Nobreha</t>
  </si>
  <si>
    <t>Sítio Unha de Gato, Junco do Seridó-PB</t>
  </si>
  <si>
    <t>79 Decreto 6514; 70 1º Lei 9605; 72 Lei 9605; 3º II Decreto 6514; 3º IV Decreto 6514; 3º IX Decreto 6514.</t>
  </si>
  <si>
    <t>J93D9MMK</t>
  </si>
  <si>
    <t>DESTRUIR 90,69 HA DE FLORESTA NATIVA NA AMAZONIA LEGAL OBJETO DE ESPECIAL PRESERVACAO, SEM LICENCA DA AUTORIDADE AMBUENTAL COMOETENTE.  ID 2016MDS000005201.</t>
  </si>
  <si>
    <t>Colniza</t>
  </si>
  <si>
    <t>GERONIMO DE SOUZA PORTO</t>
  </si>
  <si>
    <t>LINHA DA GARCA. KM 43. ZONA RURAL DE COLNIZA. COORD. GEO GRAFICAS 09°06'1.78S 59°24'43,14 W</t>
  </si>
  <si>
    <t>225, 4° CONSTITUICA FEDERAL.</t>
  </si>
  <si>
    <t>UTEOMRU6</t>
  </si>
  <si>
    <t>Destruir a corte raso 59,711 hectares de vegetação nativa, Bioma Amazônico, objeto de especial preservação, sem autorização ou licença da autoridade ambiental competente. Ato consumado mediante uso de fogo.
ID 2466.</t>
  </si>
  <si>
    <t>Salomão Lenci Junior</t>
  </si>
  <si>
    <t>Fazenda Paraiso, Rodovia Transamazônica, BR 230, Vicinal 300, km 31.</t>
  </si>
  <si>
    <t>MIF38N75</t>
  </si>
  <si>
    <t>Apresentar informação falsa no sistema oficial de controle DOF referente ao precedimento administrativo de recebimento de 25,00 M3 de madeira serrada de essências diversas, com transação de recebimento de guia florestal ideologicamente falsa.</t>
  </si>
  <si>
    <t>D.F.DA SILVA MATERIAL DE CONSTRUÇAO ME</t>
  </si>
  <si>
    <t>Av. José de Moraes Correia , s/n - Bairro - Santa Luzia - Parnaíba-PI.</t>
  </si>
  <si>
    <t>71-A Decreto 6514; 82 Decreto 6514; 70 1º Lei 9605; 72 Lei 9605; 3º II Decreto 6514; 3º VI Decreto 6514.</t>
  </si>
  <si>
    <t>JGVBDNOF</t>
  </si>
  <si>
    <t>Pescar em local proibido (profundidades inferiores à 70 metros E ao norte do limite estabelecido pela IN SEAP 26/2008), no período de 16/06 à 21/06/2018, com a embarcação AGUA VIVA M RGP SP 12312.</t>
  </si>
  <si>
    <t>70 § 1 72 II Lei 9605/98; 3º II 35 Decreto 6514/2008.</t>
  </si>
  <si>
    <t>BX3QUW1Z</t>
  </si>
  <si>
    <t>Danificar, com exploração seletiva, 632,54 ha de vegetação nativa, objeto de especial preservação, sem autorização ou licença da autoridade ambiental competente. Polígono 2019AZO00000306.</t>
  </si>
  <si>
    <t>LINDOMAR RESENDE SOARES</t>
  </si>
  <si>
    <t>Fazenda Califórnia</t>
  </si>
  <si>
    <t>1C15Q2HZ</t>
  </si>
  <si>
    <t>Destruir 140,70 ha de vegetação nativa, objeto de especial preservação, sem autorização ou licença da autoridade ambiental competente. Polígono 2019AWS000010170.</t>
  </si>
  <si>
    <t>Vivaldina Alves da Rocha</t>
  </si>
  <si>
    <t>Fazenda Água Branca</t>
  </si>
  <si>
    <t>L0SMEFKR</t>
  </si>
  <si>
    <t>Pescar em local proibido (profundidades inferiores à 70 metros e ao norte do limite estabelecido pela IN SEAP 26/2008) no período de 06 à 18/012016 com a embarcação VITÓRIA IC RGP SP 0003892.</t>
  </si>
  <si>
    <t>UT ITAJAI</t>
  </si>
  <si>
    <t>70 1° 72 II Lei 9605/98; 3° II 35 Decreto 6514/2008.</t>
  </si>
  <si>
    <t>11OHP56Y</t>
  </si>
  <si>
    <t>Pescar em local proibido ( profundidades inferiores à 70 metros E ao norte do limite estabelecido pela IN SEAP 26/2008), no período de 06 à 21/12/2015, coma embarcação VITÓRIA IC RGP SP 0003892</t>
  </si>
  <si>
    <t>ITAJAI-SC</t>
  </si>
  <si>
    <t>70,72 §1 Lei 9605/98; 3 2 Decreto 6514/2008; 35 Decreto 6514/2008.</t>
  </si>
  <si>
    <t>2P5DI4F5</t>
  </si>
  <si>
    <t>Pescar em local proibido (profundidades inferiores à 70 metros e ao norte do limite estabelecido pela IN SEAP 26/2008) no período de 20/04 à 09/05/2016 com a embarcação VITÓRIA IC RGP SP 0003892.</t>
  </si>
  <si>
    <t>KKX2QS9K</t>
  </si>
  <si>
    <t>Utilizar em floresta , três motosserras sem licença ou registro da autoridade ambiental competente.</t>
  </si>
  <si>
    <t>Conforme Coordenadas descritas acima.</t>
  </si>
  <si>
    <t>TUMCGWQ3</t>
  </si>
  <si>
    <t>Transportar 17,54 Metros Cúbicos de madeira serrada da espécie de Maçaranduba, no veículo de Placa OZL-2306, com Guia Florestal e Nota Fiscal em desacordo com a obtida.</t>
  </si>
  <si>
    <t>Seabra</t>
  </si>
  <si>
    <t>J. L MATERIAIS DE CONSTRUÇÃO LTDA</t>
  </si>
  <si>
    <t>Rua Boninal, 50</t>
  </si>
  <si>
    <t>BARREIRAS/UNID_TEC</t>
  </si>
  <si>
    <t>47, 1°, 2°, 3° e 4° 6.514/2008.</t>
  </si>
  <si>
    <t>MC8BZ3MQ</t>
  </si>
  <si>
    <t>Danificar 377,55 hectares de vegetação nativa típica de cerrado na Fazenda Ressaca, ID 2019DCD000002037 no município de Carolina-Ma, sem aprovação prévia do órgão ambiental competente.</t>
  </si>
  <si>
    <t>PEDRO IRAM PEREIRA ESPIRITO SANTO</t>
  </si>
  <si>
    <t>Fazenda Ressaca, Município de Carolina-Ma</t>
  </si>
  <si>
    <t>9GN2IGFM</t>
  </si>
  <si>
    <t>Cortar árvores de espécie nativa, castanheira, (Bertholletia excelsa) , especialmente protegida por Lei, sem permissão da autoridade competente.</t>
  </si>
  <si>
    <t>Leonardo Pereira Bomfim</t>
  </si>
  <si>
    <t>Fazenda Santa Maria - Vicinal 6, Gleba Carajás
Tuere, Zona Rural.</t>
  </si>
  <si>
    <t>23JRSR6F</t>
  </si>
  <si>
    <t>Cortar árvore (castanheira), Bertholletia excelsa, cuja a espécia é especialmente protegida, sem permissão da autoridade competente.</t>
  </si>
  <si>
    <t>Silvio Pereira Bonfim</t>
  </si>
  <si>
    <t>Fazenda Ãgua Azul, sentido Turè 1, após Vila 04, 08 km, vira a direita na vicinal 6, 15 km Atè a séde.</t>
  </si>
  <si>
    <t>B8K9H8A2</t>
  </si>
  <si>
    <t>Destruir a corte raso 133,55 hectares de vegetação nativa, Bioma Amazônico, objeto de especial preservação, ato consumado com uso de fogo, sem prévia autorização da Autoridade ambiental competente.
ID 2381.</t>
  </si>
  <si>
    <t>Fazenda Santa Maria - Vicinal 6, Gleba Carajás, Tuere, Zona Rural.</t>
  </si>
  <si>
    <t>T6I7Y01S</t>
  </si>
  <si>
    <t>Descumprir embargo objeto de TEI 605878/E efetuando plantio de soja na área embargada.</t>
  </si>
  <si>
    <t>São João d'Aliança</t>
  </si>
  <si>
    <t>José Roberto Siqueira</t>
  </si>
  <si>
    <t>Fazenda 3 Irmãos</t>
  </si>
  <si>
    <t>79 Decreto 6514; 70 1º Lei 9605; 72 Lei 9605; 3º II Decreto 6514; 3º IV Decreto 6514; 3º IX Decreto 6514; 3º VII Decreto 6514.</t>
  </si>
  <si>
    <t>UDNOO0OI</t>
  </si>
  <si>
    <t>Destruir 164,66 hectares de floresta nativa, objeto de especial preservação, sem autorização ou licença da autoridade ambiental competente (Floresta Amazônica - ID 2631; Área referente ao polígono indicado na carta imagem anexa ao processo, com coordenadas geográficas centrais 06 50'48,6"S / 55 15'50,4"W).</t>
  </si>
  <si>
    <t>FERNANDO DA SILVA FARIA</t>
  </si>
  <si>
    <t>Fazenda Real, Gleba Curuá, MD BR-163, km 1085, a 25 km pela Vicinal Celeste + 21 km pela Vicinal Sarandi.</t>
  </si>
  <si>
    <t>50 2º Decreto 6514; 60 I Decreto 6514; 60 II Decreto 6514; 70 1º Lei 9605; 72 Lei 9605; 3º II Decreto 6514; 3º VII Decreto 6514.</t>
  </si>
  <si>
    <t>7FFZVUW6</t>
  </si>
  <si>
    <t>DESTRUIR  822,940 ha DE FLORESTAS OU QUALQUER TIPO DE VEGETAÇÃO NATIVA, OBJETO DE ESPECIAL PRESERVAÇÃO (FLONA DE ALTAMIRA), NÃO PASSÍVEIS DE AUTORIZAÇÃO PARA EXPLORAÇÃO OU SUPRESSÃO, CONSUMADA PELO USO DE FOGO.</t>
  </si>
  <si>
    <t>GERCIONEY NARCISO DA COSTA</t>
  </si>
  <si>
    <t>Vicinal do Morro Vermelho.</t>
  </si>
  <si>
    <t>ZUIAP1JP</t>
  </si>
  <si>
    <t>Destruir com o uso do fogo 462,26 hectares de floresta nativa no bioma amazônico, objeto de especial preservação, sem a licença outorgada pelo órgão ambiental competente nos polígonos de coordenadas centrais 06°28'39,52"S e 55°25'34,05"W, de ID 864, 06°29'18,21"S e 55°27'49,45"W, de ID 865, 06°30'8,90"S e 55°30'25,41"W, de ID 867 e 06°29'54'11"S e 55°29'33,88W, de ID 868, conforme mapa anexo com análise temporal com imagem de satélite.</t>
  </si>
  <si>
    <t>João Paulo Jusviak</t>
  </si>
  <si>
    <t>Propriedade rural xxx</t>
  </si>
  <si>
    <t>60, inciso I 6514/2008.</t>
  </si>
  <si>
    <t>OBXQZUF2</t>
  </si>
  <si>
    <t>Ter depósito de 7,823 m3 (metros cúbicos) de madeiras serradas de essências florestais diversas, em grau industrial de caibros, vigas e pranchas; sem licença válida para todo o tempo do armazenamento, outorgada pela autoridade competente.</t>
  </si>
  <si>
    <t>Raposa</t>
  </si>
  <si>
    <t>A B Silva Santos Eireli</t>
  </si>
  <si>
    <t>Pátio da Empresa - 
Estrada da Raposa, n° 122 - 
Bairro: Pirâmide
Município/UF: Raposa-Ma</t>
  </si>
  <si>
    <t>MMP79WIO</t>
  </si>
  <si>
    <t>Destruir 238,21 hectares de vegetação nativa do bioma amazônia objeto de especial preservação, consumado com uso de fogo, sem prévia autorização da autoridade ambiental competente, de acordo com indicativo 2380 e fiscalização realizada no interior do imóvel rural denominado Fazenda Sumaúma</t>
  </si>
  <si>
    <t>Júlio Pereira Bonfim</t>
  </si>
  <si>
    <t>Fazenda Sumaúma, Vicinal 6, Gleba Carajás, Zona Rural, Distrito de Tuerê, Município de Novo Repartimento, Estado do Pará</t>
  </si>
  <si>
    <t>60, I 6514/08; 225, 4 Constituição Federal 1988.</t>
  </si>
  <si>
    <t>YA1Q61RH</t>
  </si>
  <si>
    <t>Utilizar espécie da fauna silvestre, 1 Curió (Oryzoborus angolensis) em desacordo com a licença obtida.</t>
  </si>
  <si>
    <t>Rio Branco</t>
  </si>
  <si>
    <t>FEANCISCO ANTONIO FREITAS DE LIMA</t>
  </si>
  <si>
    <t>superintendência do Ibama no Acre</t>
  </si>
  <si>
    <t>24 III Decreto 6514; 70 1º Lei 9605; 72 Lei 9605; 3º II Decreto 6514; 3º IV Decreto 6514; 3º IX Decreto 6514.</t>
  </si>
  <si>
    <t>3YA4E2WD</t>
  </si>
  <si>
    <t>efetuar no dia 19 dia 22 e dia 24 de agosto de 2014 a plataforma fpso-Niterói com suas instalações de apoio o descarte contínuo de água de processo ou de produção em desacordo com a regulamentação ambiental específica resolução CONAMA 393/2007.</t>
  </si>
  <si>
    <t>Plataforma FPSO-Niteroi</t>
  </si>
  <si>
    <t>LIC FORÇA TAREFA 2019 - IV</t>
  </si>
  <si>
    <t>8Q4NH3BR</t>
  </si>
  <si>
    <t>Efetuar no dia 11 de julho de 2014 a plataforma p-48 com suas instalações de apoio o descarte contínuo de água de processo ou de produção em desacordo com a regulamentação ambiental específica resolução CONAMA 393/2007.</t>
  </si>
  <si>
    <t>Plataforma P48</t>
  </si>
  <si>
    <t>FORÇA TAREFA 2019 - IV</t>
  </si>
  <si>
    <t>GSC37EZ9</t>
  </si>
  <si>
    <t>DESTRUIR 137,82 HECTARES DE FLORESTA NATIVA BIOMA AMAZÔNIA (FLORESTA NACIONAL DO JAMANXIM), OBJETO DE ESPECIAL PRESERVAÇÃO, NÃO PASSÍVEIS DE AUTORIZAÇÃO PARA EXPLORAÇÃO OU SUPRESSÃO, CONSUMADO MEDIANTE USO DE FOGO, ID DE COORDENADAS CENTROIDE: 06 54 35,6 SUL e 55 35 03,33 W.</t>
  </si>
  <si>
    <t>NELTON SIQUEIRA DE OLIVEIRA</t>
  </si>
  <si>
    <t>SÍTIO ESPERANÇA ZONA RURAL DO MUNICÍPIO DE NOVO PROGRESSO - PARA</t>
  </si>
  <si>
    <t>3G98QMJ6</t>
  </si>
  <si>
    <t>Descumprir embargo de 11,578 ha de floresta, referente ao Termo de Embargo n. 306552-C (área total embargada 20,91 ha), processo n. 
 02047.000435/2011-12 com coordenadas geográficas centrais Lat. 03' 46' 24,941" / Long. 50' 11' 54,88" W, no interior do PA Morada Nova II, sem autorização do órgão ambiental competente, conforme parecer técnico n. xxx e mapa com análise temporal de imagens em
anexo e vistoria de constatação de área realizada pelo Ibama em xxx.</t>
  </si>
  <si>
    <t>Núcleo de Conciliação Ambiental/PA</t>
  </si>
  <si>
    <t>JOCELIO ALVES DE ARAUJO</t>
  </si>
  <si>
    <t>Propriedade da Fazenda União, Vicinal 250, Norte, A 38 km da faixa. PA Morada Nova II.</t>
  </si>
  <si>
    <t>C9R0MWTO</t>
  </si>
  <si>
    <t>Impedir regeneração natural em uma área de 11,578 ha de vegetação referente ao termo de embargo 30652-C (área total embargada 20,91 ha), processo n. 02047.000435/2011-13 no interior do Â Morada Nova II sem autorização do órgão ambiental competente no polígono de coordenadas geográficos centrais Lat. 3º 46' 24,94'' S / Long. 50º 11' 54,88'' W, conforme parecer técnico n'. xxx e mapa com análise temporal de imagens em
anexo e vistoria de constatação de área realizada pelo Ibama in loco em xxx.</t>
  </si>
  <si>
    <t>Fazenda União, Vicinal 250, a 38km da faixa. PA Morada Nova II, Zona Rural.</t>
  </si>
  <si>
    <t>YPTO4BZ8</t>
  </si>
  <si>
    <t>Destruir com o uso do fogo 567,14 hectares de Floresta nativa no Bioma Amazônico, objeto de especial preservação, sem a licença outorgada pelo órgão ambiental competente, no polígono de coordenadas centrais 08°01'46,50" S e 55°04'46,74" W, de ID desmatamento 863, conforme mapa com análise temporal de imagens abaixo ao Processo.</t>
  </si>
  <si>
    <t>Genival Antonio do Carmo</t>
  </si>
  <si>
    <t>Propriedade rural</t>
  </si>
  <si>
    <t>WO6P8PFX</t>
  </si>
  <si>
    <t>Ter em depósito 6,43 m3 de madeira serrada de Pinheiro (Araucaria angustifolia) sem cobertura de créditos de origem legal no Sistema DOF.</t>
  </si>
  <si>
    <t>Rua Afonso Abati, n 27
CEP 89.595-000 - SALTO VELOSO/SC</t>
  </si>
  <si>
    <t>AENKE5EP</t>
  </si>
  <si>
    <t>Exercer atividades potencialmente poluidoras utilizadora de recursos naturais fabricação de Gesso,  sem licença valida outorgada pela autoridade competente.</t>
  </si>
  <si>
    <t>A M MOREIRA-EIRELE</t>
  </si>
  <si>
    <t>A M Moreira - Eirele Sítio Baixa, 147 Zona Rural Ipubi-PE</t>
  </si>
  <si>
    <t>61 § único Decreto 6514/2008.</t>
  </si>
  <si>
    <t>3LLJSZ8H</t>
  </si>
  <si>
    <t>Destruir (desmatar) 42,2330 há de mata nativa em área de reserva legal sem autorização prévia do Órgão ambiental competente, conforme carta imagem em anexo. ID 95309.</t>
  </si>
  <si>
    <t>LOURIVAL LÚCIO DOS SANTOS</t>
  </si>
  <si>
    <t>3a. Linha do Ribeirão, Km 35, PA Ribeirão, Zona Rural do Município de Nova Mamoré - RO.</t>
  </si>
  <si>
    <t>09CX9GPN</t>
  </si>
  <si>
    <t>Pescar em local proibido (profundidades inferiores à 70 metros e ao norte do limite estabelecido pela IN SEAP 26/2008) no período de 06 à 16/11/2015 com a embarcação VITÓRIA IC RGP SP 0003892.</t>
  </si>
  <si>
    <t>H6DFF9NZ</t>
  </si>
  <si>
    <t>Utilizar as dez aves do plantel SISPASS em desacordo com a licença obtida.</t>
  </si>
  <si>
    <t>Castanhal</t>
  </si>
  <si>
    <t>ANTÔNIO PAULO DE OLIVEIRA MELO</t>
  </si>
  <si>
    <t>Travessa Antônio C. Ferreira, 100, Jaderlândia, Castanhal, PA, 68746-170.</t>
  </si>
  <si>
    <t>24 3º I Decreto 6514; 24 3º III Decreto 6514; 24 3º III Decreto 6514; 24 6º III Decreto 6514; 70 1º Lei 9605; 72 Lei 9605; 3º II Decreto 6514; 3º IX Decreto 6514.</t>
  </si>
  <si>
    <t>56, Parágrafos 1° e 2° Instrução Normativa Ibama N° 10/2011.</t>
  </si>
  <si>
    <t>3POFJY3W</t>
  </si>
  <si>
    <t>Destruir 125,43Ha de floresta nativa com uso de fogo no bioma Amazônico, objeto de especial preservação, sem licença outorgada pelo órgão ambiental competente, no polígono de Coordenadas S 08º45'43" W 67º06' 57" de ID_DES_2019JAL000205, Conforme mapa com análise temporal de imagens anexo ao processo.</t>
  </si>
  <si>
    <t>MILTONLOPES DOS SANTOS</t>
  </si>
  <si>
    <t>Fazenda do Sr. Milton Lopes dos Santos
Lábrea - AM.</t>
  </si>
  <si>
    <t>60, I 6.514.</t>
  </si>
  <si>
    <t>SOX4KCTJ</t>
  </si>
  <si>
    <t>exercer atividade potencialmente poluidoras e utilizadoras de recursos naturais, fabricação de gesso. sem licença válida autorizada pela autoridade competente</t>
  </si>
  <si>
    <t>Trindade</t>
  </si>
  <si>
    <t>NEURY MARTINS ME</t>
  </si>
  <si>
    <t>Neury Martins-ME Rod. PE 630,Km 05 S/N Zona Rural Trindade -PE</t>
  </si>
  <si>
    <t>YZYB9M10</t>
  </si>
  <si>
    <t>Destruir com uso do fogo 37,11 hectares de floresta amazônica nativa, objeto de especial preservação, sem autorização da autoridade ambiental competente. ID 866</t>
  </si>
  <si>
    <t>JOSÉ NÍLSON DE CARVALHO</t>
  </si>
  <si>
    <t>Fazenda Nova Era</t>
  </si>
  <si>
    <t>60, 1 6514/2008.</t>
  </si>
  <si>
    <t>57BUD8X1</t>
  </si>
  <si>
    <t>Adquirir 10 (dez) animais abatidos da fauna silvestre brasileira da espécie "Mocó", nativos da Caatinga, sem autorização da autoridade ambiental competente.</t>
  </si>
  <si>
    <t>Itaguaçu da Bahia</t>
  </si>
  <si>
    <t>HAMILTON PEREIRA DE OLIVEIRA</t>
  </si>
  <si>
    <t>Povoado de Várzea Grande, 74, zona rural do Município de Itaguaçu da Bahia - BA.</t>
  </si>
  <si>
    <t>PIRAC CARRANCA II</t>
  </si>
  <si>
    <t>6XPW2O3N</t>
  </si>
  <si>
    <t>Destruir, com uso do fogo, 2,91 hectares de floresta amazônica nativa, objeto de especial preservação, sem autorização ou licença da autoridade ambiental competente.</t>
  </si>
  <si>
    <t>50 2º Decreto 6514; 70 1º Lei 9605; 72 Lei 9605; 3º II Decreto 6514; 3º IV Decreto 6514; 3º VII Decreto 6514.</t>
  </si>
  <si>
    <t>SPGQ548N</t>
  </si>
  <si>
    <t>Transportar  10,1943m3 de madeira em tora da essência castanheira (bertholletia excelsa), sem licença do Órgão Ambiental competente.</t>
  </si>
  <si>
    <t>João Linhares Carvalho</t>
  </si>
  <si>
    <t>Vila Netolandia
Vicinal PA Rio Gelado,
Zona Rural - Novo Repartimento/PA</t>
  </si>
  <si>
    <t>09W8NJ6J</t>
  </si>
  <si>
    <t>Destruir floresta ou demais formas de vegetação natural, ou utilizá-las com infringência das normas de proteção em área de preservação permanente, sem autorização do órgão ambiental competente, na propriedade Schwingel, dano em decorrência de garimpo, na abrangência das coordenadas geográficas Lat 08°01'19.2"S Long: 055°05'53.3"E. Área: fração de hectare, conforme mapa contendo imagem de satélite, anexa ao processo.</t>
  </si>
  <si>
    <t>Claudir Mauri Schwingel</t>
  </si>
  <si>
    <t>Área de garimpo, em APP, margem de córrego, coincidente com o Cadastro Ambiental Rural CAR de xxx.</t>
  </si>
  <si>
    <t>110, unico Dec. Federal 6514/2008.</t>
  </si>
  <si>
    <t>V1NSUOTI</t>
  </si>
  <si>
    <t>Destruir 492,99 hectares de floresta amazônica nativa, objeto de especial preservação, sem autorização ou licença da autoridade ambiental competente. ID 2625.</t>
  </si>
  <si>
    <t>Rangel Lio de Oliveira</t>
  </si>
  <si>
    <t>Fazenda Cauma, Sarah, Nossa Senhora de Fatima</t>
  </si>
  <si>
    <t>225, 4 Constituição Federal 1988.</t>
  </si>
  <si>
    <t>JKCOB25Q</t>
  </si>
  <si>
    <t>Danificar 226,62 hectares de floresta nativa do bioma amazônico, consumada mediante uso de fogo, sem autorização ou licença da autoridade ambiental competente. Deste total, 85,88 hectares interferem diretamente com a Reserva Extrativista Estadual Guariba-Roosevelt.</t>
  </si>
  <si>
    <t>REGINALDO ROSA</t>
  </si>
  <si>
    <t>Guariba</t>
  </si>
  <si>
    <t>93, Caput Decreto 6514/2008; 60, I Decreto 6514/2008; 1, Caput Decreto Estadual 59/2015 - MT.</t>
  </si>
  <si>
    <t>EYRM5GWB</t>
  </si>
  <si>
    <t>Desmontar uma Área de 10,8486 hectares de vegetação nativa objeto de especial preservação no bioma amazônico sem autorização da autoridade ambiental competente. DETER=82830-B</t>
  </si>
  <si>
    <t>Eduardo Ribeiro da Silva</t>
  </si>
  <si>
    <t>Sítio Água Gristalina</t>
  </si>
  <si>
    <t>225, parágrafo 4° Construção Federal 1988.</t>
  </si>
  <si>
    <t>2RMNWJ4D</t>
  </si>
  <si>
    <t>Adiquir 10(Dez) animals silvestres da espécie moco nativa da caatinga, sem autorização do órgão ambiental competente.</t>
  </si>
  <si>
    <t>Hamilton Pereira de Oliveira</t>
  </si>
  <si>
    <t>Povoado de Várzea Grande 74-zona rural do Município de Itaguaçu da Bahia-BA.</t>
  </si>
  <si>
    <t>24, l, Parágrafo 3, inc.lll 6514/2008.</t>
  </si>
  <si>
    <t>RJIXDIEF</t>
  </si>
  <si>
    <t>UNID_TEC/BARRA_GARCA</t>
  </si>
  <si>
    <t>Pescar em período no qual a pesca está proibida (período de Piracema), dia 16/11/2019.</t>
  </si>
  <si>
    <t>Cocalinho</t>
  </si>
  <si>
    <t>Cesar Augusto Seronni Filho</t>
  </si>
  <si>
    <t>Fazenda Remanso, Refúgio de Fauna Silvestre.</t>
  </si>
  <si>
    <t>CAS TABULEIROS I</t>
  </si>
  <si>
    <t>35 § único Decreto 6514/2008.</t>
  </si>
  <si>
    <t>HNS63A02</t>
  </si>
  <si>
    <t>Danificar 50,52 hectares de vegetação nativa típica do cerrado, na Fazenda Soledade/ Travessia, ID2019DCD000002032, no  município de Carolina-Ma sem aprovação prévia do órgão ambiental competente.</t>
  </si>
  <si>
    <t>Deraldo Lopes Pinto Filho</t>
  </si>
  <si>
    <t>Fazenda Soledade/ Travessia- Município de Carolina-Ma</t>
  </si>
  <si>
    <t>LH6DAS4A</t>
  </si>
  <si>
    <t>Destruir (desmatar), 13 há de floresta nativa em área de reserva legal, situado na Linha Terceirinha sem autorização prévia do Órgão ambiental competente, conforme carta imagem em anexo.</t>
  </si>
  <si>
    <t>Benedito Zuza da Silva</t>
  </si>
  <si>
    <t>Linha 21, B, km 39, Zona Rural do Município de Nova Mamoré - RO</t>
  </si>
  <si>
    <t>ZN2Q8KSU</t>
  </si>
  <si>
    <t>FAZER FUNCIONAR ATIVIDADE POTENCIALMENTE POLUIDORA, FABRICAÇÃO DE GESSO, SEM A COBERTURA DA LICENÇA DE OPERAÇÃO EMITIDA PELO ÓRGÃO AMBIENTAL COMPETENTE, CPRH.</t>
  </si>
  <si>
    <t>FRANCISCO PEREIRA LIA</t>
  </si>
  <si>
    <t>GESSO PANTICO TRINDADE PE</t>
  </si>
  <si>
    <t>086RHPKV</t>
  </si>
  <si>
    <t>Destruir 12 hectares de floresta nativa do bioma Amazônico, objeto de especial preservação sem a autorização do órgão ambiental competente.
Id_Deter: 82830-A</t>
  </si>
  <si>
    <t>FRANCISCO EMIDIO</t>
  </si>
  <si>
    <t>Terceirinha linha do Ribeirão km 6,5</t>
  </si>
  <si>
    <t>DJVOKWXA</t>
  </si>
  <si>
    <t>Destruir 4,75 hectares de floresta nativa do bioma Amazônico, objeto de especial preservação sem autorização do órgão ambiental competente. Id_Deter: 94567</t>
  </si>
  <si>
    <t>Adrana Costa Guerreiro</t>
  </si>
  <si>
    <t>Travessão da terceirinha km 35</t>
  </si>
  <si>
    <t>T40YJDXB</t>
  </si>
  <si>
    <t>Desmatar, 5,0 Hectares de floresta de vegetação nativa, objeto de especial preservação (Amazônia Brasileira), sem autorização do órgão ambiental competente.
Conforme coordenadas geograficas do polígono na carta imagem anexa ao processo.
ID. n°:</t>
  </si>
  <si>
    <t>PAULO TEIXEIRA DOS SANTOS</t>
  </si>
  <si>
    <t>Terceirinha km 35</t>
  </si>
  <si>
    <t>225, Parágrafo 4° Constituição federal de 1988.</t>
  </si>
  <si>
    <t>U9M042XQ</t>
  </si>
  <si>
    <t>Desmatar, 4,0 hectares de floresta de vegetação nativa objeto de especial preservação (Amazônia Brasileira), sem autorização do órgão ambiental competente.
Conforme carta imagem anexa ao processo.
ID DETER 46588.</t>
  </si>
  <si>
    <t>GILCEMAR PEDRO DA SILVA</t>
  </si>
  <si>
    <t>Terceirinha km 38</t>
  </si>
  <si>
    <t>225, Parágrafo 4° Constituição federal de 88.</t>
  </si>
  <si>
    <t>2UFAEVUC</t>
  </si>
  <si>
    <t>Destruir 24 hectares de mata Nativa, objeto de especial preservação do bioma amazônico sem autorização do órgão ambiental competente.
Id_Deter: 76671</t>
  </si>
  <si>
    <t>FATIMA APARECIDA NARCIZO</t>
  </si>
  <si>
    <t>3 linha do Ribeirão lote bom Jesus</t>
  </si>
  <si>
    <t>23NPL10S</t>
  </si>
  <si>
    <t>Destruir 7 hectares de área floresta nativa do bioma amazônico, objeto de especial preservação sem autorização do órgão ambiental competente.
ID_Deter: 82830</t>
  </si>
  <si>
    <t>Antônio Nascimento fe Oliveira</t>
  </si>
  <si>
    <t>Terceira linha do Ribeirão</t>
  </si>
  <si>
    <t>NYQW4BHU</t>
  </si>
  <si>
    <t>Destruir (desmatar) 32,399 há de floresta nativa em área de reserva legal ocorrido no período de 21/06/2.015 à 16/09/2.019 sem autorização prévia do Órgão ambiental competente, conforme carta imagem em anexo.</t>
  </si>
  <si>
    <t>ANTONIO RODRIGUES DE OLIVEIRA</t>
  </si>
  <si>
    <t>Terceira Linha, Km 35, Zona Rural do Município de Nova Mamoré - RO</t>
  </si>
  <si>
    <t>GWF7CHC9</t>
  </si>
  <si>
    <t>Apresentar informação falsa ao omitir em sistema oficial de controle (SISPASS) a transferência do espécime portador da anilha IBAMA OA 3,0 146293, da especie Oryzoborus maximiliani (bicudo) conforme constatado em vistoria realizada em xxx.</t>
  </si>
  <si>
    <t>NILTON PHILIPPI</t>
  </si>
  <si>
    <t>U T 2 Nivel de Foz do Iguaçu</t>
  </si>
  <si>
    <t>HDVH9SS5</t>
  </si>
  <si>
    <t>Utilizar animais da Fauna Silvestre brasileira .Sem autorização ou licença do órgão ambiental competente</t>
  </si>
  <si>
    <t>CARLEYDSON CARLOS CASTRO PADILHA</t>
  </si>
  <si>
    <t>Rua Artur Virgílio n.477 Bairro Aparecida -Municipio de Boa Vista</t>
  </si>
  <si>
    <t>24, I 6514/2008.</t>
  </si>
  <si>
    <t>O8OW7WCR</t>
  </si>
  <si>
    <t>Destruir 38,91 hectares de vegetação nativa objeto de especial preservação (Amazônia), alertas de desmatamento ID 83172 e extra 12, sem autorização do órgão ambiental competente.</t>
  </si>
  <si>
    <t>Ailton Matheus Junior</t>
  </si>
  <si>
    <t>Sítio Campo Novo e 2 sítio na linha 21 cruzamento com a terceirinha</t>
  </si>
  <si>
    <t>225, parágrafo 4 Constituição Federal.</t>
  </si>
  <si>
    <t>MN11QLQR</t>
  </si>
  <si>
    <t>Destruir (desmatar) 32 há de floresta nativa em área de reserva legal sendo:20 há no ID 94313 e 12 há no ID 90444, sem autorização do Órgão ambiental competente, conforme carta imagem em anexo.</t>
  </si>
  <si>
    <t>Pedro Paulo Félix Bastos</t>
  </si>
  <si>
    <t>Linha 21, Km 30, Zona Rural do Município de Nova Mamoré - RO.</t>
  </si>
  <si>
    <t>8461A8J6</t>
  </si>
  <si>
    <t>Explorar 204,19 ha de vegetação nativa em área de reserva legal, na Fazenda Baluarte I, II, III, sem autorização prévia do órgão ambiental competente</t>
  </si>
  <si>
    <t>Buriticupu</t>
  </si>
  <si>
    <t>LUCIANO AFONSO BORGES</t>
  </si>
  <si>
    <t>Fazenda Baluarte I II e III  Município de Buriticupu-Ma</t>
  </si>
  <si>
    <t>HT4VYC0I</t>
  </si>
  <si>
    <t>Fazer funcionar atividade potencialmente poluidora, fabricação de gesso, sem a licença emitida pelo órgão ambiental competente, CPRH.</t>
  </si>
  <si>
    <t>SERTAO GESSO INDUSTRIA E COMERCIO LTDA - EPP</t>
  </si>
  <si>
    <t>Sertão Gesso Indústria e Comércio LTDA-EPP. Rodovia BR 316 Km 52, S/N -Primeiro</t>
  </si>
  <si>
    <t>JIE7TL2M</t>
  </si>
  <si>
    <t>Destruir, a corte raso, 97,928 hectares de floresta nativa, objeto de especial preservação,  na Fazenda Ibrahim II, sem autorização ou licença da autoridade ambiental competente.</t>
  </si>
  <si>
    <t>Mazyad Ibrahim</t>
  </si>
  <si>
    <t>Fazenda Ibrahim II</t>
  </si>
  <si>
    <t>225, §4° Constituição federal 1988.</t>
  </si>
  <si>
    <t>IFPNMCS9</t>
  </si>
  <si>
    <t>Pescar em local proibido ( profundidades inferiores à 70 metros E ao norte do limite estabelecido pela IN SEAP 26/2008), no período de 06 à 21/12/2015.</t>
  </si>
  <si>
    <t>ROTW9X3A</t>
  </si>
  <si>
    <t>Desmatar uma Área de 29,84 hectares de vegetação nativa objeto de especial preservação no bioma amazônico, sem licença da autoridade ambiental competente. DETER 49581.</t>
  </si>
  <si>
    <t>Lucelia Siqueira de Melo</t>
  </si>
  <si>
    <t>Sítio Rio Verde</t>
  </si>
  <si>
    <t>225, 4°  construção Federal / 1988.</t>
  </si>
  <si>
    <t>60DAPU51</t>
  </si>
  <si>
    <t>Ter em depósito 115 espécimes controlados de origem vegetal (ameaçados de extinção) sem licença outorgada pela autoridade competente.</t>
  </si>
  <si>
    <t>Romulo Cavalcante Braga</t>
  </si>
  <si>
    <t>Residência</t>
  </si>
  <si>
    <t>HERMES 2019 II</t>
  </si>
  <si>
    <t>32, parágrafo unico IN 09/2016.</t>
  </si>
  <si>
    <t>AWZO7DAY</t>
  </si>
  <si>
    <t>Destruir , a corte raso, 56,332 hectares, de floresta nativa, objeto de especial preservação, na Fazenda Malibu, sem autorização ou licença da autoridade ambiental competente.</t>
  </si>
  <si>
    <t>Abimael Conceição Souza</t>
  </si>
  <si>
    <t>Fazenda Malibu</t>
  </si>
  <si>
    <t>015UOK7Y</t>
  </si>
  <si>
    <t>Exercer atividades potencialmente poluidoras (transporte e depósito de produtos perigosos) sem inscrição no Cadastro Técnico Federal que trata o artigo 17 da Lei 6.938, de 1981.</t>
  </si>
  <si>
    <t>Transportadora Amizade Ltda</t>
  </si>
  <si>
    <t>Rua Monte Castelo, 177, Corumbá-MS</t>
  </si>
  <si>
    <t>76, item V Decreto 6514/08; 17 , II e 1 V Lei Federal 6.938/81.</t>
  </si>
  <si>
    <t>1I0KSX5N</t>
  </si>
  <si>
    <t>Reforma e ampliação de obras na "barragem existente na área de preservação permanente", considerada efetiva ou potencialmente degradadora, sem autorização dos ambientais competentes.</t>
  </si>
  <si>
    <t>Sete Quedas</t>
  </si>
  <si>
    <t>CLAUDIO MARTINELLI NETO</t>
  </si>
  <si>
    <t>Sítio Lote Pirajuí</t>
  </si>
  <si>
    <t>66 Decreto 6514; 70 1º Lei 9605; 72 Lei 9605; 3º II Decreto 6514; 3º IV Decreto 6514; 3º VII Decreto 6514.</t>
  </si>
  <si>
    <t>RRXX2O6K</t>
  </si>
  <si>
    <t>Destruir (supressão) 3,60 hectares de fragmento de vegetação BIOMA MATA ATLÂNTICA, vegetação secundária em estágio inicial de regeneração na fazenda Lira III</t>
  </si>
  <si>
    <t>VALDEMIR MARTINELLI</t>
  </si>
  <si>
    <t>Fazenda Lira III - Sete Quedas / MS</t>
  </si>
  <si>
    <t>50 § 1 Decreto 6514/2008.</t>
  </si>
  <si>
    <t>25, - Lei 11428/2006.</t>
  </si>
  <si>
    <t>TEQK6CKD</t>
  </si>
  <si>
    <t>Pescar em local proibido (profundidades inferiores à 70 metros E ao norte do limite estabelecido pela IN SEAP 26/2008), no período de 16/06. à 21/06/2018.</t>
  </si>
  <si>
    <t>X8Q0CM3C</t>
  </si>
  <si>
    <t>Destruir (supressão) 10,20 hectares de fragmento de vegetação BIOMA MATA ATLÂNTICA, vegetação secundária em estágio inicial de regeneração no sítio Lote Pirajuí.</t>
  </si>
  <si>
    <t>Lote Pirajuí</t>
  </si>
  <si>
    <t>50 1º Decreto 6514; 70 1º Lei 9605; 72 Lei 9605; 3º II Decreto 6514; 3º IV Decreto 6514; 3º VII Decreto 6514.</t>
  </si>
  <si>
    <t>XHSBPI8S</t>
  </si>
  <si>
    <t>Destruir 60,715 hectares de vegetação nativa do Bioma Amazônico, objeto especial de preservação, consumado com o uso do fogo, sem prévia autorização da autoridade ambiental competente, de acordo com indicativo EXTRA2019NSL003, e Fiscalização In Loco, no interior da Fazenda Campos.</t>
  </si>
  <si>
    <t>TIAGO LOPES DA SILVA</t>
  </si>
  <si>
    <t>Vicinal 338 - Sul</t>
  </si>
  <si>
    <t>50, I Decreto Federal n. 6.514/08; 60, I Decreto Federal 6.514/08; 225, Parágrafo 4 Constituição Federal 1988.</t>
  </si>
  <si>
    <t>5KYRHY8L</t>
  </si>
  <si>
    <t>Utilizar 09 espécimes da fauna silvestre nativa em desacordo com a autorização obtida, sendo: 01 exemplar sem anilha e 02 ausentes do criatório.</t>
  </si>
  <si>
    <t>Rio Bananal</t>
  </si>
  <si>
    <t>SANTO TESSAROLLO</t>
  </si>
  <si>
    <t>Rio Bananal/ES</t>
  </si>
  <si>
    <t>TCI TRÁFICO</t>
  </si>
  <si>
    <t>5DPH433L</t>
  </si>
  <si>
    <t>Elias Texeira dos Santos</t>
  </si>
  <si>
    <t>Sítio Boa Esperança</t>
  </si>
  <si>
    <t>KOUGNIAK</t>
  </si>
  <si>
    <t>Desmatar uma Área de 32 hectares de vegetação nativa objeto de especial preservação no bioma amazônico, sem autorização ou licença do órgão ambiental competente. DETER 83163</t>
  </si>
  <si>
    <t>Sítio Esperança</t>
  </si>
  <si>
    <t>225, 4° Construção Federal 1988.</t>
  </si>
  <si>
    <t>DBS5TP84</t>
  </si>
  <si>
    <t>INDUSTRIA E COMÉRCIO DE GESSO BRASIL LTDA</t>
  </si>
  <si>
    <t>BR- 316 KM - 53-Gesso Trindade, 430 Zona Rural-Trindade/ PE</t>
  </si>
  <si>
    <t>9JIDKMJR</t>
  </si>
  <si>
    <t>Pescar em local proibido (profundidades inferiores à 70 metros), no período de 21/05 à 08/06/2016, com a embarcação AGUA VIVA M RGP SP 000012312-5.</t>
  </si>
  <si>
    <t>WUEEX8MB</t>
  </si>
  <si>
    <t>PROMOVER CONSTRUÇÃO DE UM BALNEÁRIO, EM SOLO NÃO EDIFICAVEL, ASSIM CONSIDERADO EM RAZÃO DE SEU VALOR PAISAGISTICO, EM ÁREA DE APP.</t>
  </si>
  <si>
    <t>GLAYDSON ALVES FERREIRA</t>
  </si>
  <si>
    <t>SÍTIO SÃO RUMÅO, ZONA RURAL</t>
  </si>
  <si>
    <t>3º, 74, II, VII DECRETO FEDERAL Nº 6514/08.</t>
  </si>
  <si>
    <t>WYMQXFBZ</t>
  </si>
  <si>
    <t>Desmatar a corte raso 32,43 hectares de vegetação nativa, bioma cerrado, na fazenda Brejão, ID2019DCD000006877,no município de Estreito-MA, sem autorização da autoridade competente.</t>
  </si>
  <si>
    <t>Gilciléa Gomes Santos</t>
  </si>
  <si>
    <t>Fazenda Brejão-Município Estreito-Ma</t>
  </si>
  <si>
    <t>1WMO46OJ</t>
  </si>
  <si>
    <t>Utilizar 21 espécimes da fauna silvestre nativa em desacordo com a autorização obtida, sendo: 01 exemplar sem anilha; 02 ausentes da relação; 01 com anilha falsa; 02 com anilhas adulteradas e 05 ausentes do criatório.</t>
  </si>
  <si>
    <t>ALEX RAMOS MEIRELES</t>
  </si>
  <si>
    <t>UWTG2YG9</t>
  </si>
  <si>
    <t>Utilizar 21 espécimes da fauna silvestre nativa em desacordo com a autorização obtida, sendo: 01 exemplar sem anilha; 02 ausentes da relação; 01 com anilha falsa e 02 com anilhas adulteradas e 04 ausentes do criatório.</t>
  </si>
  <si>
    <t>Pancas/ES</t>
  </si>
  <si>
    <t>24 3º I Decreto 6514; 24 3º III Decreto 6514; 24 6º I Decreto 6514; 24 6º III Decreto 6514; 70 1º Lei 9605; 72 Lei 9605; 3º II Decreto 6514; 3º IV Decreto 6514; 3º VII Decreto 6514.</t>
  </si>
  <si>
    <t>22GUH1V9</t>
  </si>
  <si>
    <t>Destruir 14 hectares de vegetação nativa, objeto de especial preservação (Bioma Amazônia), sem autorização do órgão ambiental competente, em área descrita em 
Memorial Descritivo a ser incluso no respectivo processo administrativo.</t>
  </si>
  <si>
    <t>Leonardo Diniz Carvalho</t>
  </si>
  <si>
    <t>Sítio sem nome</t>
  </si>
  <si>
    <t>FY4YKNAE</t>
  </si>
  <si>
    <t>Apresentar informação falsa no sistema oficial de controle SISFLORA sendo 200,0356 metros cúbicos de madeiras movimentados para a empresa Matos Comércio de Madeiras Eireli ME inexistente de fato</t>
  </si>
  <si>
    <t>Juína</t>
  </si>
  <si>
    <t>E M Rocha Depósito de Madeiras ME</t>
  </si>
  <si>
    <t>E.M. Rocha Depósito de Madeiras ME</t>
  </si>
  <si>
    <t>D03NNPN9</t>
  </si>
  <si>
    <t>Destruir 228,47 ha de floresta nativa, objeto de especial preservação, sem autorizaç¿o da autoridade ambiental competente.                        
ID 2019SAR000002579</t>
  </si>
  <si>
    <t>Fabio Reinholz Lovo</t>
  </si>
  <si>
    <t>imóvel rural, linha 4, km 39, Capa</t>
  </si>
  <si>
    <t>225, 4 Constituição Federal.</t>
  </si>
  <si>
    <t>LM74DQNO</t>
  </si>
  <si>
    <t>Deixar de entregar os Relatórios de Atividades potencialmente poluidoras e utilizadoras de recursos ambientais-RAPP para os anos 2018(ano base 2017) e 2019(ano base 2018), nos prazos previstos na legislação vigente.</t>
  </si>
  <si>
    <t>Aquidauana</t>
  </si>
  <si>
    <t>AUTO POSTO ASA BRANCA LTDA</t>
  </si>
  <si>
    <t>Unidade Técnica Ibama Corumbá-MS</t>
  </si>
  <si>
    <t>2ZSDUM3O</t>
  </si>
  <si>
    <t>Utilizar três espécimes da fauna silvestre em desacordo com a licença obtida. No caso, o interessado reproduziu a ave de anilha Ibama OA 3,5  152102 sem prévio requerimento de anilhas e obteve dois filhotes.</t>
  </si>
  <si>
    <t>Engenheiro Coelho</t>
  </si>
  <si>
    <t>AGOSTINHO FERREIRA</t>
  </si>
  <si>
    <t>Operação delivery -Aeroporto Internacional de Viracopos</t>
  </si>
  <si>
    <t>36, III IN IBAMA 10/2011.</t>
  </si>
  <si>
    <t>2Z3S781L</t>
  </si>
  <si>
    <t>Pescar em local proibido (ao norte do limite estabelecido pela IN SEAP 26/2008), no período de. 14/11 à 02/12/2017, com a embarcação AGUA VIVA M RGP SP. 0012312-5.</t>
  </si>
  <si>
    <t>HYUXU4MO</t>
  </si>
  <si>
    <t>Pescar em local proibido (profundidades inferiores à 70 metros E ao norte do limite estabelecido pela IN SEAP 26/2008), no período de 22/10 à 09/11/2017, com a embarcação AGUA VIVA M RGP SP 0012312-5.</t>
  </si>
  <si>
    <t>5CE6383W</t>
  </si>
  <si>
    <t>Pescar em local proibido (profundidades inferiores à 70 metros e ao norte do limite estabelecido pela IN
26/2008) no período de 27/09 a 10/10/2017 com a embarcação ÁGUA VIVA M RGP SP 0012312-5.</t>
  </si>
  <si>
    <t>70 § 1 72 II Lei 9605/98; 3 II 35 Decreto 6514/2008.</t>
  </si>
  <si>
    <t>GCT35Z0M</t>
  </si>
  <si>
    <t>Pescar em local proibido (ao norte do limite estabelecido pela IN SEAP 26/2008), no período de 07/08 à 20/08/2017, com a embarcação AGUA VIVA M RGP SP 0012312-5.</t>
  </si>
  <si>
    <t>72DL28MI</t>
  </si>
  <si>
    <t>Abandonar carga (AWB 014 1317 1591) contendo produto perigoso (UN 1760-Classe 8, Corrosivo) no Aeroporto Internacional de Viracopos-SP, conforme Relatório de Fiscalização  xxx, Processo Ibama 02285.000806/2019-01.</t>
  </si>
  <si>
    <t>Aeroporto Internacional de Viracopos-SP. Terminal de Cargas.</t>
  </si>
  <si>
    <t>7MMO3D12</t>
  </si>
  <si>
    <t>Pescar em local proibido (ao norte do limite estabelecido pela IN SEAP 26/2008) no período de 13/07 à 01/08/2017, com a embarcação AGUA VIVA M RGP SP. 0012312-5</t>
  </si>
  <si>
    <t>UWAI4QX1</t>
  </si>
  <si>
    <t>Pescar em local proibido (profundidades inferiores à 70 metros), no período de 21/05 à. 09/06/2017, com a embarcação AGUA VIVA M RGP SP 0012312-5.</t>
  </si>
  <si>
    <t>Edital</t>
  </si>
  <si>
    <t>GBZTU61E</t>
  </si>
  <si>
    <t>Pescar em local proibido (profundidades inferiores à 70 metros), no período de 05 à 18/04/2017, com a embarcação AGUA VIVA M RGP SP 00012312-5</t>
  </si>
  <si>
    <t>WWS0MI44</t>
  </si>
  <si>
    <t>GIVANEIDE DO NASCIMENTO SANTANA GESSO ME</t>
  </si>
  <si>
    <t>Gesso Gonzagão/ Freire Sítio Espírito Santo Zona Rural / Trindade/ PE</t>
  </si>
  <si>
    <t>4E9D6U2I</t>
  </si>
  <si>
    <t>Utilizar 20 passeriformes silvestres nativos em desacordo com a licença SISPASS.</t>
  </si>
  <si>
    <t>24 III Decreto 6514; 70 1º Lei 9605; 72 Lei 9605; 3º II Decreto 6514; 3º IV Decreto 6514; 3º IX Decreto 6514; 3º V Decreto 6514.</t>
  </si>
  <si>
    <t>6JM20V76</t>
  </si>
  <si>
    <t>Utilizar ao manter em desacordo com a autorização concedida os pássaros: 02 canários da terra e 01 curió SEM ANILHA. Ademais, mantinha o pássaro coleiro papa capim anilha IBAMA 05-06 2,2 083503 FALSA; o pássaro coleiro papa capim anilha IBAMA OA 2,2 065036 ADULTERADA; o pássaro coleiro papa capim anilha 04-05 2,2 067004, aparentemente regular.Por fim, não mantinha em sua residência o coleiro papa capim anilha 04-05 2,2 054230.</t>
  </si>
  <si>
    <t>Jose Carlos Balmant</t>
  </si>
  <si>
    <t>Rua Bahia, 155. Bairro Filomena. Nova Venécia.</t>
  </si>
  <si>
    <t>70 1º Lei 9605; 72 Lei 9605; 3º II Decreto 6514; 3º IV Decreto 6514; 3º IX Decreto 6514.</t>
  </si>
  <si>
    <t>25, III/3 Decreto 6514/2008.</t>
  </si>
  <si>
    <t>043B8R2D</t>
  </si>
  <si>
    <t>Matar uma espécime de Capivara sem a devida licença ou autorização da autoridade competente, ou em desacordo com a obtida.</t>
  </si>
  <si>
    <t>Itaituba</t>
  </si>
  <si>
    <t>Adonaldo de Jesus Silva</t>
  </si>
  <si>
    <t>Barreiras</t>
  </si>
  <si>
    <t>CAS TABULEIROS IV STM</t>
  </si>
  <si>
    <t>GGYKNO9B</t>
  </si>
  <si>
    <t>Aveiro</t>
  </si>
  <si>
    <t>Jackson Nazare de Jesus</t>
  </si>
  <si>
    <t>Barreirinha</t>
  </si>
  <si>
    <t>6QUUCJBD</t>
  </si>
  <si>
    <t>Destruir 61,966 hectares de floresta nativa entre 02/06/2015 e 22/10/2019 na propriedade rural Estância Ventania, área de floresta Amazônica, sem autorização do órgão ambiental competente.</t>
  </si>
  <si>
    <t>Apiacás</t>
  </si>
  <si>
    <t>EFIGENIO RODRIGUES DE CARVALHO</t>
  </si>
  <si>
    <t>Estância Ventania</t>
  </si>
  <si>
    <t>UP6HB0OD</t>
  </si>
  <si>
    <t>Descumprir embargo em 133,29 ha de floresta referente ao Termo de Embargo 354281-C, processo 02047.000682/2008-13, com atividade de bovinocultura, sem autorização do órgão ambiental competente, conforme parecer técnico xxx e vistoria no local em xxx.</t>
  </si>
  <si>
    <t>Itupiranga</t>
  </si>
  <si>
    <t>MARCIO LIBORIO FEITOSA ARRAES</t>
  </si>
  <si>
    <t>Fazenda Pé de Serra</t>
  </si>
  <si>
    <t>M0MW3HAJ</t>
  </si>
  <si>
    <t>guardar 20 M3 (vinte metros cúbico) de madeiras, produto proveniente de origem vegetal em forma de mourões das especimes aroeira e Baraúna espécimes imunes de corte sem licença válida para todo o tempo do armazenamento outorgada pelo órgão ambiental competente.</t>
  </si>
  <si>
    <t>GILIARDE CAVALCANTE GESSO E PLACA</t>
  </si>
  <si>
    <t>Sítio Espírito Santo, 40 - Zona Rural Trindade-PE</t>
  </si>
  <si>
    <t>1, Parágrafo unico Portaria 83 N/91.</t>
  </si>
  <si>
    <t>3ZA708GL</t>
  </si>
  <si>
    <t>Pescar em local proibido (profundidades inferiores à 70 metros), no período de 21/05 à 08/06/2016, com a embarcação AGUA VIVA M RGP SP. 0012312-5.</t>
  </si>
  <si>
    <t>YJKZ7638</t>
  </si>
  <si>
    <t>Ultilizar animais Silvestre da Fauna Brasileira em Desacordo com a licença obtida</t>
  </si>
  <si>
    <t>Vila Pavão</t>
  </si>
  <si>
    <t>Valdecir Tesch</t>
  </si>
  <si>
    <t>Rua Hermes Neves, SN, Vila Pavão</t>
  </si>
  <si>
    <t>24 6º Decreto 6514; 70 1º Lei 9605; 72 Lei 9605; 3º II Decreto 6514; 3º IV Decreto 6514.</t>
  </si>
  <si>
    <t>4C0W0PRE</t>
  </si>
  <si>
    <t>Destruir uma área de 28 hectares de vegetação nativa bioma amazônico, objeto de especial preservação sem autorização prévia do órgão ambiental competente.
Id_Deter: 47582</t>
  </si>
  <si>
    <t>DARIO ROSA DO NASCIMENTO</t>
  </si>
  <si>
    <t>3 linha km 23 Ribeirão</t>
  </si>
  <si>
    <t>YQFJ04CU</t>
  </si>
  <si>
    <t>Desmatar, 9,7 hectares de floresta de vegetação nativa, objeto de especial preservação (Amazônia Brasileira), sem autorização do órgão ambiental competente.
Conforme carta imagem anexa ao processo.</t>
  </si>
  <si>
    <t>FRANCISCO DE ASSIS RIBEIRO DE SOUZA</t>
  </si>
  <si>
    <t>Projeto de assentamento Rosana Lecy. Coordenada geográficas S: 10°03'06'' e W: 64°58'25''.</t>
  </si>
  <si>
    <t>225, 4° Constituição federal 1988.</t>
  </si>
  <si>
    <t>0KQ9HNDT</t>
  </si>
  <si>
    <t>TER EM DEPÓSITO, NA GESSO GONZAGÃO, 20 ST DE LENHA NATIVA, ORIUNDA DA CAATINGA, DAS ESPÉCIES UMBURANA E QUEBRA FACA, SEM A COBERTURA DO COMPETENTE DOCUMENTO DE ORIGEM FLORESTAL,DOF.</t>
  </si>
  <si>
    <t>GESSO GONZAGÃO TRINDADE PE</t>
  </si>
  <si>
    <t>34I62QWH</t>
  </si>
  <si>
    <t>Pescar em local proibido (profundidades inferiores à 70 metros), no periodo de 14/03 à 29/03/2017, com a embarcação AGUA VIVA M RGP SP 0012312-5</t>
  </si>
  <si>
    <t>UT Itajai</t>
  </si>
  <si>
    <t>70 § 1 72 Lei 9605/98; 3 II 35 Decreto 6514/2008.</t>
  </si>
  <si>
    <t>HSW0TSW0</t>
  </si>
  <si>
    <t>Pescar em local proibido (profundidades inferiores à 70 metros E ao norte do limite estabelecido pela TN SEAP 26/2008). no período de 15/02 à 06/03/2017, com a embarcação AGUA VIVA W RGP SP 0012312-5.</t>
  </si>
  <si>
    <t>UB225QJI</t>
  </si>
  <si>
    <t>Pescar em local proibido (profundidades inferiores à 70 metros e ao norte do limite estabelecido pela IN SEAP 26/2008) no período de 26/01 A 11/02/2017 com a embarcação ÁGUA VIVA M RGP SP. 0012312-5.</t>
  </si>
  <si>
    <t>19COIP4Y</t>
  </si>
  <si>
    <t>Utilizar espécimes da fauna silvestre nativa em desacordo com a licença emitida pela autoridade competente. Os passeriformes constantes no plantel do autuado não se encontravam na residência. Foi constatada a existência de 02 (dois) exemplares que não constavam na relação.</t>
  </si>
  <si>
    <t>ROMULO VICENTE BOTAN</t>
  </si>
  <si>
    <t>Rua Chafariz, S/N, Vila Santa Cruz, Aracruz/ES</t>
  </si>
  <si>
    <t>24 6º I Decreto 6514; 24 6º II Decreto 6514; 70 1º Lei 9605; 72 Lei 9605; 3º II Decreto 6514; 3º IV Decreto 6514; 3º IX Decreto 6514.</t>
  </si>
  <si>
    <t>ART. 1°, - Decreto Estadual 1499-r/2005.</t>
  </si>
  <si>
    <t>G8046RRC</t>
  </si>
  <si>
    <t>NATALICIO JOSE BORTOLINI</t>
  </si>
  <si>
    <t>Linha Apepu lote 2
São Miguel do Iguaçu PR</t>
  </si>
  <si>
    <t>U59GWRO6</t>
  </si>
  <si>
    <t>Utilizar 13 espécimes da fauna silvestre nativa em desacordo com a autorização obtida, sendo: 04 exemplares ausentes (01 Azulão-verdadeiro, 01 Trinca-ferro, 02 Papa-capim) e 04 exemplares com anilhas adulteradas (03 Trinca-ferro e 01 Papa-capim).</t>
  </si>
  <si>
    <t>MOISES MOREIRA NETO</t>
  </si>
  <si>
    <t>Q61UIVEH</t>
  </si>
  <si>
    <t>Pescar em local proibido (profundidades inferiores à 70 metros E ao norte do limite estabelecido pela IN SEAP 26/2008), no período de 05/12 à 27/17/7016, com a embarcação AGUA VIVA W RGP 0012312-5.</t>
  </si>
  <si>
    <t>X7IL5XUH</t>
  </si>
  <si>
    <t>Pescar em local proibido (profundidades inferiores à 70
metros), no período de 14/11 à 01/12/2016, com a embarcação
AGUA VIVA H RGP SP 0012312-5.</t>
  </si>
  <si>
    <t>YCF61EFU</t>
  </si>
  <si>
    <t>Pescar em local proibido (profundidades inferiores à 70 metros) no período de 21/10 à 10/11/2016, com a embaração Agua Viva M RGP SP 0012312-5.</t>
  </si>
  <si>
    <t>0W9GHMPC</t>
  </si>
  <si>
    <t>Pesar em local proibido (profundidades inferiores o 70
metros), riu período de 25/08 o 09/09/2016, AGUA VIVA 1104, SP. 0012312 S.</t>
  </si>
  <si>
    <t>UT-ITAJAI</t>
  </si>
  <si>
    <t>70,72 Lei 9605/98; 3 2 Decreto 6514/2008; 35 Decreto 6514/2008.</t>
  </si>
  <si>
    <t>WR4FRWAL</t>
  </si>
  <si>
    <t>Pescar em local proibido (profundidades inferiores à 70 metros), no período de 30/07 à. 10/08/2016, com a embarcação AGUA VIVA M RGP SP 0012312-5.</t>
  </si>
  <si>
    <t>LN5KDFQJ</t>
  </si>
  <si>
    <t>Destruir 27,967 há de vegetação nativa, consumado com uso de fogo, na região amazônica, área considerada objeto de especial preservação, sem autorização da autoridade ambiental competente, localizada no polígono de coordenadas centrais, 11° 22' 27.3 S 55° 13' 17.7" W, de ID 2591, conforme mapa com análise temporal de imagens.</t>
  </si>
  <si>
    <t>Andreyson Antônio Zanini</t>
  </si>
  <si>
    <t>Estrada Heloá, km 36 a partir da cidade de Claudia, assentamento Zumbi dos Palmares II.</t>
  </si>
  <si>
    <t>26, Caput Lei 12651/2012.</t>
  </si>
  <si>
    <t>QWKXNHVE</t>
  </si>
  <si>
    <t>Pescar em local proibido çpenfundidade, infeinores ri 70
metros), no período de 22/04 o 09/05/2016, cum Cl embastaçao
AGUA VIVA 14 RGP SP 00123125</t>
  </si>
  <si>
    <t>UNRW48J7</t>
  </si>
  <si>
    <t>Pescar em local proibido (profundidades inferiores a 70
metros) no período de 01/04 a 16/04/2016, COM A embarcação
AGUA VIVA M 11GP SP 0012112-5</t>
  </si>
  <si>
    <t>096PWOWY</t>
  </si>
  <si>
    <t>Pescar em local proibido (profundidades inferiores à 70 metros e ao norte do limite estabelecido pela IN SEAP 26/2008) no período de 23/01 a 07/03/2016 com a embarcação ÁGUA VIVA M RGP SP.</t>
  </si>
  <si>
    <t>5EGH8Q53</t>
  </si>
  <si>
    <t>Destruir 1.143,859 hectares de floresta nativa entre 20 de outubro de 2015 e 05 de agosto de 2019 na propriedade rural Seringal Flor do Ouro, área de floresta Amazônica, sem autorização do órgão ambiental competente.</t>
  </si>
  <si>
    <t>UEZE ELIAS ZAHRAN</t>
  </si>
  <si>
    <t>Seringal Flor do Ouro</t>
  </si>
  <si>
    <t>HFLTOACE</t>
  </si>
  <si>
    <t>pESCAR em local proibido (profundidades  inferiores À 70
meros E ao norte do limite estabelecido pela IN SEAP
26/2008), no periodo de 07/01 à 18,01/2016,com a embarcação
AGUA VIVA 11 RGP SP 0012312-5.</t>
  </si>
  <si>
    <t>OES6QD2X</t>
  </si>
  <si>
    <t>Pescar em local proibido (profundidades inferiores à 70 metros E ao norte do limite estabelecido pela IN SEAP 26/2008), no período de 12/12 à 24/12/2015, com a embarcação AGUA VIVA M RGP SP 012312-5.</t>
  </si>
  <si>
    <t>XNX3QXQM</t>
  </si>
  <si>
    <t>Pescar em local proibido (profundidades inferiores à 70 metros E ao norte do limite estabelecido pela IN SEAP 26/2008), no período de 24/11 à 09/12/2015 com a embarcação AGUA VIVA M RGP SP 00012312-5.</t>
  </si>
  <si>
    <t>BKU3HTXD</t>
  </si>
  <si>
    <t>Pescar me local proibido (profundidades Inferiores à 70
metros E ao norte do limite estabelecido pela IN 56AP
26/2008) no período de 01/11 à 26/11/2015, com a embarcação
AGUA VIVA N RGP SP 0012312.</t>
  </si>
  <si>
    <t>BEYP41NX</t>
  </si>
  <si>
    <t>Transportar 99,8676m3, de madeira cerrada de essências diversas em desacordo com as notas fiscais apresentadas e desacobertadas de DOF, conforme demais relatórios anexos da PRF e da Polícia Cívil de Tocantinópolis.</t>
  </si>
  <si>
    <t>Aguiarnópolis</t>
  </si>
  <si>
    <t>L.P. da Paixão Materiais de Construção EIRELLI</t>
  </si>
  <si>
    <t>Pátio da Polícia Rodoviária Federal</t>
  </si>
  <si>
    <t>YM1BCXLJ</t>
  </si>
  <si>
    <t>Destruir 37,306 há de vegetação nativa, na Região Amazonica, área considerada objeto de especial preservação, sem autorização da autoridade ambiental competente, localizada no polígono de coordenadas centrais 11° 19' 46,03" S 55° 18' 41,7" W, de ID 2590, conforme mapa com análise temporal de imagens.</t>
  </si>
  <si>
    <t>PAULO HENRIQUE DE ABREU</t>
  </si>
  <si>
    <t>Br 163 km 60 a partir da cidade de Sinop.</t>
  </si>
  <si>
    <t>60 Decreto 6514/2008; 50 § 2 Decreto 6514/2008.</t>
  </si>
  <si>
    <t>26, caput Lei 12651/12.</t>
  </si>
  <si>
    <t>8HY25NCP</t>
  </si>
  <si>
    <t>Destruir 27,43 ha de floresta atlântica, formação Floresta Ombrófila Mista. objeto de especial preservação, nao passível de autorização para exploração ou supressão, mediante corte com motosserra e queima.</t>
  </si>
  <si>
    <t>Pinhão</t>
  </si>
  <si>
    <t>Daniel dos Santos Matozo</t>
  </si>
  <si>
    <t>zona rural.</t>
  </si>
  <si>
    <t>49 § 1 Decreto 6514/2008.</t>
  </si>
  <si>
    <t>62, II Decreto 6514/08.</t>
  </si>
  <si>
    <t>3LTPQMRT</t>
  </si>
  <si>
    <t>Fazer funcionar atividade utilizadora de recursos ambientais, considerado efetiva ou potencialmente poluidores, sem a devida licença ou autorização dos órgãos ambientais competentes, em atividade de garimpo, na abrangência das coordenadas geográficas Lat: 08°01'20.6"S Long: 055°05'49.3W.</t>
  </si>
  <si>
    <t>Valcir Antonio Koch</t>
  </si>
  <si>
    <t>Propriedade rural com CAR em nome de xxx. Área de garimpo.</t>
  </si>
  <si>
    <t>DE2KOGU2</t>
  </si>
  <si>
    <t>Fazer funcionar estabelecimento de atividades utilizadora de recursos ambientais, considerado potencialmente poluidoras.Sem licença ou autorização do órgão ambiental competente</t>
  </si>
  <si>
    <t>Cícero Barros Nogueira</t>
  </si>
  <si>
    <t>Região do Paraná  Mangueirão Rio Branco Município de Caracaraí</t>
  </si>
  <si>
    <t>CAS TABULEIRO I</t>
  </si>
  <si>
    <t>66, P. Único 6514/2008.</t>
  </si>
  <si>
    <t>7R4LJTP7</t>
  </si>
  <si>
    <t>Destruir 24 hectares de vegetação nativa, objeto de especial preservação (Amazônia), indicativo de desmatamento Deter 94007 (parte leste) sem autorização do órgão amboental competente. 
Memorial Descritivo
S 10°00'15,9" W65°04'58,2"
S 10°00'06"  W65°04'59"
S 09°59'54"  W65°05'02"
S 09°59'52"  W65°05'12"
S 09°59'52"  W65°05'13"
S 10°00'15"  W65°06'09"
S10°00'15"  W65°05'09"</t>
  </si>
  <si>
    <t>ALESSANDRO BELMOD GRIFFO</t>
  </si>
  <si>
    <t>Sexta linha km 26,5</t>
  </si>
  <si>
    <t>225, parágrafo 4° Constituição Federal.</t>
  </si>
  <si>
    <t>C5MLHC87</t>
  </si>
  <si>
    <t>Destruir 9.57 hectares de floresta nativa, sem autorização prévia do órgão ambiental competente No polígono ID2019TFP00140S, de coordenadas geográficas S 08° 39' 19.6" W 069° 36' 1.1", os vértices do polígono encontra-se Inseridos no mapa com análise temporal anexo.</t>
  </si>
  <si>
    <t>Manoel Urbano</t>
  </si>
  <si>
    <t>Vanderley Sabino Fortunato</t>
  </si>
  <si>
    <t>Colônia Boa Vista, Localizada na Gleba Afluente, lado direito do Ramal do perdido km 3.5 pela BR 364 km 46 M.Urbano/ Feijó.</t>
  </si>
  <si>
    <t>8QD5UDP1</t>
  </si>
  <si>
    <t>Ter em depósito 1,287 m³ de madeira serrada sem licença válida.</t>
  </si>
  <si>
    <t>Lavras</t>
  </si>
  <si>
    <t>DIÓGENES COSTA FARIA LINO</t>
  </si>
  <si>
    <t>Unidade Técnica do IBAMA em Lavras/MG</t>
  </si>
  <si>
    <t>ROTINA UT LAVRAS</t>
  </si>
  <si>
    <t>47 1º Decreto 6514; 47 2º Decreto 6514; 70 1º Lei 9605; 72 Lei 9605; 3º I Decreto 6514; 3º IV Decreto 6514.</t>
  </si>
  <si>
    <t>7GXYISYR</t>
  </si>
  <si>
    <t>Instalar obras ou serviços sujeito a licenciamento ambiental,com aterro de riacho em área de preservação permanente e em mata atlantica.</t>
  </si>
  <si>
    <t>DAVI DA CUNHA EUFRASIO</t>
  </si>
  <si>
    <t>Sitio Bananal no Município de Uruburetama/CE</t>
  </si>
  <si>
    <t>70 §1º 72 Lei 9605/98; 3º II, VII 3º, 66 II, VII Decreto 6514/2008.</t>
  </si>
  <si>
    <t>3; 66, II; VII 6514/08.</t>
  </si>
  <si>
    <t>II9JG4UR</t>
  </si>
  <si>
    <t>Apresentar informaç¿o falsa em sistema oficial de controle, ao receber crédito florestal sem a madeira correspondente, relativa às GF's 435082 e 447071, relativa à Autef xxx do PMFs da xxx, conforme relatório de fiscalização xxx do Proc. adm. 02048.001668/2019-71.</t>
  </si>
  <si>
    <t>ABRAMEX COM. E EXP. DE MADEIRAS LTDA - EPP.</t>
  </si>
  <si>
    <t>PMFS da xxx</t>
  </si>
  <si>
    <t>TIIZOAT3</t>
  </si>
  <si>
    <t>Deixar de apresentar o relatório do Protocolo de Montreal referente ao ano de 2019/2018, nos prazos exigidos pela legislação.</t>
  </si>
  <si>
    <t>RECOFARMA INDÚSTRIA DO AMAZONAS LTDA</t>
  </si>
  <si>
    <t>Aeroporto Internacional de Viracopos-SP.</t>
  </si>
  <si>
    <t>JBQN8FXH</t>
  </si>
  <si>
    <t>Descumprir embargo por meio de atividade de silvicultura em área embargada por meio do Termo de Embargo 035085/C.</t>
  </si>
  <si>
    <t>Cruz Machado</t>
  </si>
  <si>
    <t>FORMASA AGROFLORESTAL LTDA</t>
  </si>
  <si>
    <t>Fazenda Tanguá</t>
  </si>
  <si>
    <t>Z1L4DQ4A</t>
  </si>
  <si>
    <t>Apresentar informaç¿o falsa em sistema oficial de controle DOF/Sisflora, ao receber créditos florestais sem a madeira correspondente, relativo às GFs 441740e 443104, relativas às Autef xxx do PMFS da xxx, conforme relatório de fiscalização xxx do Proc. Adm. 02048.001668/2019-71.</t>
  </si>
  <si>
    <t>COQUEIRO INDUSTRIA, COMERCIO E EXPORTACAO DE MADEIRAS EIRELI</t>
  </si>
  <si>
    <t>PMFS da xxx.</t>
  </si>
  <si>
    <t>YG80W1AZ</t>
  </si>
  <si>
    <t>Apresentar informaç¿o falsa em sistema oficial de controle, ao receber crédito florestal, sem a madeira correspondente, relativa às GF's 422734, 440368, 444944, 446266, 447631, 447689 e 308737, relativas às Autefs xxx e xxx do PMFS da xxx, conforme relatório de fiscalização xxx do Proc. Adm. 02048.001668/2019-71.</t>
  </si>
  <si>
    <t>DPM COMERCIO DE MADEIRAS E EXPORTAÇÃO EIRELI</t>
  </si>
  <si>
    <t>XG0HOKD0</t>
  </si>
  <si>
    <t>Destruir 100 hectares de floresta nativa do bioma Amazônico, objeto especial de preservação sem autorização do órgão ambiental competente
Id_Deter: 87793</t>
  </si>
  <si>
    <t>Jaqueline Costa Caldas</t>
  </si>
  <si>
    <t>Estância Magalhães linha  5- Ribeirão</t>
  </si>
  <si>
    <t>XE64YO7W</t>
  </si>
  <si>
    <t>Destruir 24,613 hectares de vegetação nativa, no bioma amazônico, objeto de especial preservação, sem autorização do órgão ambiental competente, localizada nas Coordenadas Central (S) 10 42 36,446 e (W) 53 59 23,046. Referente ao Polígono 2646, conforme mapa com análise temporal de imagem.</t>
  </si>
  <si>
    <t>Ademar Miguel de Melo</t>
  </si>
  <si>
    <t>Rodovia MT 320 - Km 98 - Zona Rural - município de Marcelândia/MT</t>
  </si>
  <si>
    <t>PSHV9I16</t>
  </si>
  <si>
    <t>Apresentar informaç¿o falsa em sistema oficial de controle, ao receber crédito florestal por meio da GF 441443, relativa à Autef xxx do PMFS da xxx, conforme relatório  de fiscalização xxx do Proc. Adm. 02048.001668/2019-71.</t>
  </si>
  <si>
    <t>MADEIREIRA RANCHO DA CABOCLA LTDA-FILIAL</t>
  </si>
  <si>
    <t>V6ND1UZO</t>
  </si>
  <si>
    <t>Destruir 274,56 hectares de floresta nativa, objeto de especial preservação, sem autorização ou licença da autoridade ambiental competente (Floresta Amazônica - ID 2635; Área total composta por três polígonos, conforme carta imagem anexa ao processo, com coordenadas geográficas centrais : Área 1 - 07 27'18"S / 55 28'12"W; Área 2 - 07 27'36"S / 55 29'23"W; Área 3 - 07 27'51"S / 55 30'43"W).</t>
  </si>
  <si>
    <t>DIOGO RODRIQUES DA SILVA</t>
  </si>
  <si>
    <t>Fazenda Toca do Lobo, Gleba Gorotire, margem esquerda da BR-163, km 1053, a 27 km pela Vicinal Canaã.</t>
  </si>
  <si>
    <t>50 Decreto 6514; 60 I Decreto 6514; 60 II Decreto 6514; 70 1º Lei 9605; 72 Lei 9605; 3º II Decreto 6514; 3º VII Decreto 6514.</t>
  </si>
  <si>
    <t>NJXJKQWQ</t>
  </si>
  <si>
    <t>Destruir 74,46 hectares de floresta nativa objeto de especial preservação, sem autorização ou licença da autoridade competente.</t>
  </si>
  <si>
    <t>Ernani Luiz Schuck</t>
  </si>
  <si>
    <t>Linha 4 da Capa.
Coordenadas geográficas do centroide:
09°06'51,4'' S 59°23'38,8'' W</t>
  </si>
  <si>
    <t>J1JU4HN7</t>
  </si>
  <si>
    <t>Destruir 241.14 hectares de floresta nativa, no bioma Amazônia, objeto de especial preservaçao, mediante uso de fogo, sem licença da autoridade ambiental competente. ID 2611.</t>
  </si>
  <si>
    <t>Marcos Menezes Mendes</t>
  </si>
  <si>
    <t>Localidade São Miguel
Altamira-PA</t>
  </si>
  <si>
    <t>2KN385EN</t>
  </si>
  <si>
    <t>DESTRUIR 113,73 ha DE FLORESTA NATIVA, OBJETO DE ESPECIAL PRESERVAÇÃO (BIOMA AMAZÔNICO), MEDIANTE O USO DE FOGO, SEM AUTORIZAÇÃO DA AUTORIDADE AMBIENTAL COMPETENTE. (ID 2629).</t>
  </si>
  <si>
    <t>ROBERTO APARECIDO DIAS</t>
  </si>
  <si>
    <t>Vicinal Sarandi, zona rural de Altamira
Faz recanto da paz</t>
  </si>
  <si>
    <t>8KD5D6AC</t>
  </si>
  <si>
    <t>Transportar 4,93 m³ de lenha nativa sem licença válida para todo o tempo de viagem, outorgada pela autoridade competente.</t>
  </si>
  <si>
    <t>Antônio Eloi Neto Araujo Silva</t>
  </si>
  <si>
    <t>Delegacia da PRF em Parnaíba</t>
  </si>
  <si>
    <t>CU3XZT45</t>
  </si>
  <si>
    <t>POR PERMITIR OU AUTORIZAR A CONDUÇÃO DE VEÍCULO AUTOMOTOR EM DESACORDO COM OS LIMITES E EXIGÊNCIAS AMBIENTAIS PREVISTOS NA LEGISLAÇÃO. Por permitir ou autorizar a condução do veículo Scania/R 440 A6x2, ano 2013, de placas ONO-0430, de sua propriedade, utilizando irregularmente diesel S 500, quando deveria utilizar o S-10; luz no painel do veículo indicando falha no sistema SRCS; computador de bordo indicando "Nível alto de emissões"; o reservatório de ARLA32 com conexões desligadas. As constatações foram verificadas in loco pelos agentes da PRF de Nova Santa Helena e narrados nos termos do Boletim de Ocorrência nº xxx.</t>
  </si>
  <si>
    <t>Nova Santa Helena</t>
  </si>
  <si>
    <t>PAULO ROGERIO AGUIAR MIRANDA</t>
  </si>
  <si>
    <t>Posto da PRF em Nova Santa Helena, BR 163, Km 946.</t>
  </si>
  <si>
    <t>68 Decreto 6514/2008.</t>
  </si>
  <si>
    <t>QEGDQFCC</t>
  </si>
  <si>
    <t>Transportar 55,00 metros cúbicos de madeiras serradas, sem licença válida para todo o tempo da viagem, outorgada pela autoridade competente.</t>
  </si>
  <si>
    <t>SCHWINGEL &amp; SCHWINGEL LTDA</t>
  </si>
  <si>
    <t>Posto da PRF na BR-060, em Rio Verde/GO</t>
  </si>
  <si>
    <t>GZFNIC86</t>
  </si>
  <si>
    <t>CONDUZIR VEÍCULO AUTOMOTOR EM DESACORDO COM OS LIMITES E EXIGÊNCIAS AMBIENTAIS PREVISTOS NA LEGISLAÇÃO. Por conduzir veículo Scania/R 440 A6x2, ano 2013, placas ONO-0430, utilizando irregularmente diesel S-500, quando deveria utilizar o S-10; luz no painel do veículo indicando falha no sistema SRCS; computador de bordo indicando "Nível alto de emissões"; o reservatório de ARLA32 com conexões desligadas. As constatações foram verificadas in loco pelos agentes da PRF de Nova Santa Helena e narrados nos termos do Boletim de Ocorrência nº xxx.</t>
  </si>
  <si>
    <t>CLAUDEMAR DE ARRUDA GOMES</t>
  </si>
  <si>
    <t>8E3U7VV0</t>
  </si>
  <si>
    <t>Transportar 4,93m3 de lenha sem licença válida para todo o tempo de viagem, outorgada pela autoridade competente.</t>
  </si>
  <si>
    <t>Antônio Eloi Neto Araujo Dilva</t>
  </si>
  <si>
    <t>Delegacia de Polícia Rodoviária Federal em Parnaiba</t>
  </si>
  <si>
    <t>2XWYKTVL</t>
  </si>
  <si>
    <t>Ter em cativeiro espécimes da fauna silvestre brasileira em desacordo com a licença concedida ao manter 01 papa capim ( Sporophila caerulescens) sem anilha; 01 papa capim com anilha (IBAMA OA 2,2 185839) adulterada e sem estar no registro; 01 papa capim anilha ( IBAMA 03/04 2,2 035845 - Falsa); 01 trinca ferro (Saltator similis) sem anilha e não manter os seguintes pássaros em seu endereço: coleiro papa capim ( SISPASS 2,2 ES/A 007223; coleiro papa capim ( SISPASS ES/A 2,2 012131), SISPASS 2,2 ES/A 015714; trinca ferro IBAMA OA 3,5 132363 e trinca ferro IBAMA OA 3,5 363884.</t>
  </si>
  <si>
    <t>Sooretama</t>
  </si>
  <si>
    <t>WELLINGTON DA SILVA MORAES</t>
  </si>
  <si>
    <t>Sítio Coqueiro. Zona Rural de Sooretama.</t>
  </si>
  <si>
    <t>3 Inc. 2,4,9 Decreto 6514/2008; 70 § 1 Lei 9605/98; 72 Lei 9605/98.</t>
  </si>
  <si>
    <t>24, 3/III Decreto 6514/2018.</t>
  </si>
  <si>
    <t>N0J6DO3W</t>
  </si>
  <si>
    <t>Destruir 634,82 hectares de vegetação nativa do bioma amazônia, objeto de especial preservação, consumado com o uso do fogo, sem prévia autorização da autoridade ambiental competente, de acordo com indicativo Extra2019NLS001 e fiscalização realizada"in loco", no interior da Fazenda Tatajuba</t>
  </si>
  <si>
    <t>DENIS FAUSTINO MONTEIRO - FAZENDA TIM TIM</t>
  </si>
  <si>
    <t>Fazenda Tatajuba, Zona Rural, Travessão Três Barracos/Maré, Município de Portel, Estado do Pará</t>
  </si>
  <si>
    <t>60, I Decreto Federal 6514/08; 225, Parágrafo 4 Constituição federal 1988.</t>
  </si>
  <si>
    <t>GYPWWBG3</t>
  </si>
  <si>
    <t>Destruir 634,72 hectares de vegetação nativa do bioma amazônia, objeto de especial preservação, consumado com o uso de fogo, sem prévia autorização da autoridade ambiental competente, de acordo com indicativo Extra2019NLS002, e fiscaliza
çao realizada "in loco"</t>
  </si>
  <si>
    <t>LEONARDO DE DÉA</t>
  </si>
  <si>
    <t>Fazenda Fazenda Pau Preto
Vicinal Três Barracos, Maré, Zona Rural, município de Portel, Estado do Pará</t>
  </si>
  <si>
    <t>60, I Decreto Federal 6514/08; 225, Parágrafo 4 Constituição Federal 1988.</t>
  </si>
  <si>
    <t>LN4GYN1V</t>
  </si>
  <si>
    <t>Destruir 11,04 hectares de floresta nativa do bioma amazônico, objeto de especial preservação, sem autorização do órgão ambiental competente.</t>
  </si>
  <si>
    <t>João Pereira Bezerra</t>
  </si>
  <si>
    <t>linha 5 lote 111</t>
  </si>
  <si>
    <t>ZXQIEM59</t>
  </si>
  <si>
    <t>Destruir, 7,78 hectares de florestas de vegetação nativa, objeto de especial preservação (Amazônia Brasileira), sem autorização da autoridade ambiental competente. 
Conforme carta imagem anexa ao processo.
Coordenada do polígono:
S: 09°59'59' e 65°05'54'"W;
S: 09°59'58'' e 65°05'45''W;
S: 10°00'07'' e 65°05'45''W;
S: 10°00'13'' e 65°05'51''W.</t>
  </si>
  <si>
    <t>Marionilton Feltz de Oliveira</t>
  </si>
  <si>
    <t>Sexta Linha do Ribeirão, km 24</t>
  </si>
  <si>
    <t>VRAHVOWC</t>
  </si>
  <si>
    <t>POR ADQUIRIR, PARA FINS COMERCIAIS, MADEIRA EM TORAS SEM EXIGIR A EXIBIÇÃO DA LICENÇA DO VENDEDOR OUTORGADA PELA AUTORIDADE COMPETENTE, E SEM MUNIR-SE DA VIA QUE DEVERÁ ACOMPANHAR O PRODUTO ATÉ FINAL BENEFICIAMENTO. Por adquirir 35,620 m3 de madeira em toras de quatro essências, se valendo pela segunda vez da mesma Guia Florestal e DANFE, ou seja, adquirindo duas cargas iguais como se fosse apenas uma com a mesma autorização de transporte, nos termos do exposto no Relatório Policial do Termo Circunstanciado de Ocorrência nº xxx.</t>
  </si>
  <si>
    <t>BENEFICIAMENTO DE MADEIRAS FLOR DO CAMPO LTDA ME</t>
  </si>
  <si>
    <t>Posto da PRF de Nova Santa Helena, Br 163.</t>
  </si>
  <si>
    <t>HTR4YIHN</t>
  </si>
  <si>
    <t>Desmatar, a corte raso, demais formações nativas, sem autorização da autoridade competente.</t>
  </si>
  <si>
    <t>Igaracy</t>
  </si>
  <si>
    <t>José Carlos Junior</t>
  </si>
  <si>
    <t>Sítio Velho</t>
  </si>
  <si>
    <t>DES CEREUS</t>
  </si>
  <si>
    <t>PPVBUQ7L</t>
  </si>
  <si>
    <t>POR VENDER MADEIRA SEM LICENÇA VÁLIDA PARA TODO O TEMPO DA VIAGEM OUTORGADA PELA AUTORIDADE COMPETENTE OU EM DESACORDO COM A OBTIDA. Por vender 35,620 m3 de madeira em toras de quatro essências, se valendo pela segunda vez da mesma Guia Florestal e DANFE, nós termos do exposto no Relatório Policial do Termo Circunstanciado de Ocorrência nº xxx.</t>
  </si>
  <si>
    <t>F. FERREIRA BUENO ME</t>
  </si>
  <si>
    <t>IIRLINRA</t>
  </si>
  <si>
    <t>Danificar  2334,75 hectares de floresta nativa amazônica objeto de especial preservação sem autorização prévia do órgão ambiental competente consumada mediante provocação de incêndio na propriedade Fazenda Rancho Alegre/3 Corações atingindo propriedades vizinhas.</t>
  </si>
  <si>
    <t>Feliz Natal</t>
  </si>
  <si>
    <t>Silvio Som Cruz e Silva</t>
  </si>
  <si>
    <t>Fazenda Rancho Alegre /03 Corações</t>
  </si>
  <si>
    <t>60, I Decreto Federal 6514/2008.</t>
  </si>
  <si>
    <t>92NBI34S</t>
  </si>
  <si>
    <t>Pescar em local proibido ( profundidades inferiores à 70 metros E ao norte do limite estabelecido pela IN SEAP 26/2008) com a embarcação VITÓRIA IC RGP SP 0003892.</t>
  </si>
  <si>
    <t>PDJHEJCR</t>
  </si>
  <si>
    <t>Destruir 12,5 hectares de floresta do bioma amazônico objeto de especial preservação, sem autorização da autoridade ambiental competente.</t>
  </si>
  <si>
    <t>Maria Lucivanda de Brito</t>
  </si>
  <si>
    <t>km 24 linha 6</t>
  </si>
  <si>
    <t>DTK03WMG</t>
  </si>
  <si>
    <t>POR TRANSPORTAR MADEIRA SEM LICENÇA VÁLIDA PARA TODO O TEMPO DA VIAGEM, OUTORGADA PELA AUTORIDADE COMPETENTE OU EM DESACORDO COM A OBTIDA. Por transportar 35,620 m³ de madeira em toras de quatro essências, se valendo pela segunda vez da mesma Guia Florestal e DANFE, nós termos do exposto no Relatório Policial do Termo Circunstanciado de Ocorrência nº xxx.</t>
  </si>
  <si>
    <t>NILCO DE LIMA GODOY</t>
  </si>
  <si>
    <t>Posto da PRF em Nova Santa Helena, Br 163.</t>
  </si>
  <si>
    <t>RSV7EN4B</t>
  </si>
  <si>
    <t>Pescar em local proibido ( profundidades inferiores à 70 metros E ao norte do limite estabelecido pela IN SEAP 26/2008) no período de 20/11 à 02/12/2015,com a embarcação VITÓRIA IC RGP SP 000</t>
  </si>
  <si>
    <t>N8NPZQ7I</t>
  </si>
  <si>
    <t>Pescar em local proibido (profundidades inferiores à 70 metros) no período de 14/05 à 04/06/2016, com a embarcação VITÓRIA IC RGP SP 0003892</t>
  </si>
  <si>
    <t>W3A9XN6N</t>
  </si>
  <si>
    <t>Pescar em local proibido (profundidades inferiores à 70 metros) no período de 20/04 à 09/05/2015, com a embarcação VITÓRIA IC RGP SP 0003893.</t>
  </si>
  <si>
    <t>Y6LY86DP</t>
  </si>
  <si>
    <t>Pescar em local proibido (profundidades inferiores à 70 metros E ao norte do limite estabelecido pela IN SEAP 26/2008) no período de 06 á 16/11/2015, com a embarcação VITÓRIA IC RGP SP 0003892</t>
  </si>
  <si>
    <t>B99UD50S</t>
  </si>
  <si>
    <t>Extrair 312 palanques da espécie itaúba (Mezilaurus itaúba) na terra indígena Parque do Aripuanã.</t>
  </si>
  <si>
    <t>PAULO CINTA LARGA</t>
  </si>
  <si>
    <t>Terra Indígena Parque do Aripuanã.</t>
  </si>
  <si>
    <t>2ZEH0GCD</t>
  </si>
  <si>
    <t>Ter em cativeiro um Curió macho (Sporophila angolensis), sem a devida permissão, licença ou autorização da autoridade ambiental competente.</t>
  </si>
  <si>
    <t>CARLOS EDUARDO RIBEIRO DA SILVA</t>
  </si>
  <si>
    <t>Comunidade do Água Azul</t>
  </si>
  <si>
    <t>24 3º Decreto 6514; 70 1º Lei 9605; 72 Lei 9605; 3º I Decreto 6514; 3º IV Decreto 6514; 3º V Decreto 6514.</t>
  </si>
  <si>
    <t>Q0VMZ3NZ</t>
  </si>
  <si>
    <t>Pescar em local proibido (profundidades inferiores à 70 metros E ao norte do limite estabelecido pela IN SEAP 26/2008), no periodo de 21/06 à 06/07/2017,. com. a embarcação VITÓRIA IC RGP SP. 0003892.</t>
  </si>
  <si>
    <t>70 1° 72 II Lei 9605/98; 3º II 35 Decreto 6514/2008.</t>
  </si>
  <si>
    <t>JR0MNLT8</t>
  </si>
  <si>
    <t>Pescar em local proibido (profundidades inferiores à 70 metros E ao norte do limite estabelecido pela IN 26/2008) no período de 16/10 à 07/11/2016 com a embarcação VITÓRIA IC RGP SP 0003892.</t>
  </si>
  <si>
    <t>XB7LPOL5</t>
  </si>
  <si>
    <t>Pescar em local proibido ( profundidades inferiores à 70 metros), no período de 21/07/2016 à 09/08/2016, com a embarcação VITÓRIA IC RGP SP 0003892.</t>
  </si>
  <si>
    <t>IH07F55I</t>
  </si>
  <si>
    <t>Pescar em local proibido (profundidades inferiores à 70 metros e ao norte do limite estabelecido pela IN SEAP 26/2008) no período de 15/06 à 26/06/2016 com a embarcação VITÓRIA IC RGP SP 0003892.</t>
  </si>
  <si>
    <t>HKZJRSZ5</t>
  </si>
  <si>
    <t>Desmatar 131,39 05 hectares de floresta nativa de cerrado fora da reserva legal, sem autorização da autoridade competente.</t>
  </si>
  <si>
    <t>ILVANY ALVES CAMPOS</t>
  </si>
  <si>
    <t>NUFIS - DITEC - PALMAS-TO</t>
  </si>
  <si>
    <t>N8NPZQ71</t>
  </si>
  <si>
    <t>Pescar em local proibido (profundidades inferiores à 70 metros e ao norte do limite estabelecido pela IN SEAP 26/2008) no período de 14/05 à 04/06/2016 com a embarcação VITÓRIA IC RGP SP 0003892.</t>
  </si>
  <si>
    <t>5PKZ8F3P</t>
  </si>
  <si>
    <t>Pescar em local proibido (. profundidades inferiores à 70 metros) no período de 25/03/2016 à 16/04/2016, com a embarcação VITÓRIA IC RGP SP 000389</t>
  </si>
  <si>
    <t>A78FQIUC</t>
  </si>
  <si>
    <t>Pescar em local proibido (profundidades inferiores à 70 metros E ao norte do limite estabelecido pela IN SEAP 26/2008) no período de 29/01/2016 a 13/02/2016, com a embarcação VITÓRIA IC RGP SP 0003892.</t>
  </si>
  <si>
    <t>Pescar em local proibido (. profundidades inferiores à 70 metros) no período de e 29/01/2016 a 13/02/201, com a embarcação VITÓRIA IC RGP SP 0003892.</t>
  </si>
  <si>
    <t>4VR85AVM</t>
  </si>
  <si>
    <t>Pescar em local proibido ( profundidades inferiores à 70 metros E ao norte do limite estabelecido pela IN SEAP 26/2008) no período de 06 à 18/01/2016</t>
  </si>
  <si>
    <t>OVMPNCKZ</t>
  </si>
  <si>
    <t>Pescar em local proibido ( profundidades inferiores à 70 metros E ao norte do limite estabelecido pela IN SEAP 26/2008) no período de 0 à 21/12/2015, com a embarcação VITÓRIA IC RGP SP 0003892</t>
  </si>
  <si>
    <t>Q56LPM9F</t>
  </si>
  <si>
    <t>Pescar em local proibido (profundidades inferiores à 70 metros E ao norte do limite estabelecido pela IN SEAP 26/2008) no período de 06 à 16/11/2015, com a embarcação VITÓRIA IC RGP SP 0003892.</t>
  </si>
  <si>
    <t>C9MIWGQX</t>
  </si>
  <si>
    <t>Desmatar, 53,0 hectares, de floresta nativa, sem autorização da autoridade competente, sendo: 4.78Ha ID2017AWS000014292-A de coordenadas W 70 05'50,2'' 08 32'59,0'' e 42.12Ha IDAWS2019000014292- W 70 06'05,4" S 08 33'12.2", os vértices do polígono encontra-se Inseridos com análise temporal anexo.</t>
  </si>
  <si>
    <t>Antonio Fabiano dod santos da Silva</t>
  </si>
  <si>
    <t>Colônia Três Barraca, Seringal Cruz, Lado direito da BR 364 km 47, fica aproximadamente 6 Km em linha reta do eixo da BR.</t>
  </si>
  <si>
    <t>KJVSS6SD</t>
  </si>
  <si>
    <t>Transportar 24,0 metros cúbicos de madeira serrada, sem Documento de Origem Florestal - DOF, válido para todo o tempo da viagem. O DOF 6168 5597 6169 9757 apresentado pelo motorista não é válido, um vez que a carga de madeira flagrada no transporte irregular não é oriunda de Irambuma-AM, e não teria como destino Arapiraca-AL, além de não conter na carga as espécies de madeira declaradas no DOF e a tipologia de resíduo para aproveitamento industrial (peças menores que 80 centímetros).</t>
  </si>
  <si>
    <t>Carlene da Costa Souza Comércio Eireli</t>
  </si>
  <si>
    <t>Posto da Polícia Rodoviária Federal- Rodovia BR-153 Km 67,3 - Porangatu-Goiás</t>
  </si>
  <si>
    <t>47 1º Decreto 6514; 47 2º Decreto 6514; 47 3º Decreto 6514; 70 1º Lei 9605; 72 Lei 9605; 3º II Decreto 6514; 3º IV Decreto 6514.</t>
  </si>
  <si>
    <t>QM3M1YBY</t>
  </si>
  <si>
    <t>Ter em cativeiro três Periquitos (Brotogeris chiriri), sem a devida permissão, licença ou autorização da autoridade ambiental competente.</t>
  </si>
  <si>
    <t>JOSÉ FAUSTINO DE OLIVEIRA</t>
  </si>
  <si>
    <t>FYZ60CJ3</t>
  </si>
  <si>
    <t>Permitir a condução de veículo automotor, placa ODS 9057, em desacordo com exigências ambientais previstas na legislação: com uso de ARLA 32 reprovado no teste com o reagente Negro de Eriocromo T.</t>
  </si>
  <si>
    <t>NOVAFORMA PLÁSTICOS LTDA</t>
  </si>
  <si>
    <t>Rodovia BR 101, Km 251</t>
  </si>
  <si>
    <t>OLEWSQWQ</t>
  </si>
  <si>
    <t>Pescar em local proibido ( profundidades inferiores à 70 metros) no período de 02/07 à 16/07/2016, com a embarcação VITÓRIA IC RGP SP 0003892.</t>
  </si>
  <si>
    <t>XD15OUBM</t>
  </si>
  <si>
    <t>Destruir 40,678 há de vegetação nativa, consumado com uso de fogo, na região Amazônica, objeto de especial preservação no polígono de coordenadas centrais, 11° 21' 32,25" 55° 07' 37,24" W, de ID 2596, conforme mapa com análise temporal de imagens.</t>
  </si>
  <si>
    <t>MILTON LUIZ PRESOTTO</t>
  </si>
  <si>
    <t>Estrada Candida, km 35 a partir do Município de Claudia MT, Zona Rural.</t>
  </si>
  <si>
    <t>26, caput 12651/12.</t>
  </si>
  <si>
    <t>QNXIH5L5</t>
  </si>
  <si>
    <t>Conduzir em 07/11/2019 veículo automotor, placa ODS 9057, em desacordo com exigências ambientais previstas na legislação: com uso de ARLA 32 reprovado no teste com o reagente Negro de Eriocromo T.</t>
  </si>
  <si>
    <t>RAFAEL JOVENCIO DO NASCIMENTO</t>
  </si>
  <si>
    <t>Rodovia Br 101, km 251 em xxx.</t>
  </si>
  <si>
    <t>68 Decreto 6514; 70 1º Lei 9605; 72 Lei 9605; 3º II Decreto 6514.</t>
  </si>
  <si>
    <t>P37D76DW</t>
  </si>
  <si>
    <t>Destruir 10,15 há, de floresta nativa na Região Amazônica, objetivo de especial preservação, sem a licença outorgada pelo órgão ambiental competente.</t>
  </si>
  <si>
    <t>Dom Eliseu</t>
  </si>
  <si>
    <t>Francisco dos Santos Sousa</t>
  </si>
  <si>
    <t>Fazenda Sítio Paricá.</t>
  </si>
  <si>
    <t>50, 2° Decreto Federal 6.514/2008.</t>
  </si>
  <si>
    <t>XR2JHTQS</t>
  </si>
  <si>
    <t>Pescar em local proibido (profundidades inferiores à 70 metros e ao norte do limite estabelecido pela IN 26/2008) no período de 07 a 26/10/2015 com a embarcação VITÓRIA IC RGP SP 0003892.</t>
  </si>
  <si>
    <t>IU72I4WH</t>
  </si>
  <si>
    <t>Fornecer dados fraudados no sistema informatizado de controle de fauna (SISPASS), ao declarar o nascimento de 21 (vinte e um) espécimes de aves silvestres nativas, conforme Informação xxx anexa.</t>
  </si>
  <si>
    <t>Virgem da Lapa</t>
  </si>
  <si>
    <t>FRANCISCO GOMES DE SOUZA</t>
  </si>
  <si>
    <t>Rua JK, 192, bairro Bela Vista - Virgem da Lapa/MG</t>
  </si>
  <si>
    <t>7B54KVBI</t>
  </si>
  <si>
    <t>''''''''''''''''''''''''''''''''''Destruir 44,02 hectares de vegetação nativa de mata Atlântica, objeto de especial preservação, nos estágios médio e avançado de regeneração na propriedade localizada às Coordenadas Geográficas S 22º 07'31,71'' // W 41º 36'14,6'', sem autorização do Órgão Ambiental competente. Conforme Parecer Técnico nº xxx (SEI xxx).</t>
  </si>
  <si>
    <t>Cabo Frio</t>
  </si>
  <si>
    <t>JOSE HENRIQUE MORAES DA SILVA</t>
  </si>
  <si>
    <t>Rodovia RJ 102 -Baia Formosa - Cabo Frio - RJ</t>
  </si>
  <si>
    <t>KFGM1EHD</t>
  </si>
  <si>
    <t>Expor à venda substância/produto extraído da espécie Phyllomedusa bicolor, nativa da fauna brasileira, sem a devida permissão, licença ou autorização da autoridade ambiental competente.</t>
  </si>
  <si>
    <t>Concórdia</t>
  </si>
  <si>
    <t>JOSÉ ABIDI ALMEIDA NETO</t>
  </si>
  <si>
    <t>Rua Guilherme Arendt, 372, Concórdia, SC.</t>
  </si>
  <si>
    <t>VB0PIN6V</t>
  </si>
  <si>
    <t>Destruir 58,247 ha de vegetação nativa, no bioma Amazônico, objeto de especial preservação, sem autorização do órgão ambiental competente, localizada nas coordenadas central : 11°02'58"-S e 53°59'54"-W , referente ao ponto 2645, conforme mapa com análise temporal de imagem anexo.</t>
  </si>
  <si>
    <t>Décio José Zabot</t>
  </si>
  <si>
    <t>Sítio Puma, Estrada Vicinal Lontrinha, Zona Rural do Município de Marcelandia-MT.</t>
  </si>
  <si>
    <t>E8Q0FDWL</t>
  </si>
  <si>
    <t>Destruir 144,05 hectares de vegetação nativa, objeto de especial preservação, localizada no bioma da Amazônia Legal, sem autorização ou licença do órgão ambiental competente.IDENT_POL*2019AZO00000301*LATITUDE*03° 52' 46" S*LONGITUDE*48° 54' 19" W*</t>
  </si>
  <si>
    <t>Goianésia do Pará</t>
  </si>
  <si>
    <t>Júnior Carlos Alexandre</t>
  </si>
  <si>
    <t>Vicinal da Santo Antonio</t>
  </si>
  <si>
    <t>5RGUWUKN</t>
  </si>
  <si>
    <t>Destruir 99,66 hectares de floresta nativa da Amazônia legal objeto de especial Preservação sem autorização prévia do órgão ambiental competente. 
ID 2019AWS000023108.</t>
  </si>
  <si>
    <t>Arquimedes Pinheiro Dias</t>
  </si>
  <si>
    <t>Fazenda Garrote - Zona Rural - Colniza-MT</t>
  </si>
  <si>
    <t>8FAT9PZN</t>
  </si>
  <si>
    <t>Destruir 473, 32 hectares de vegetação nativa (Bioma Amazônia), objeto de especial preservação,  consumada mediante uso de fogo, sem licença da autoridade ambiental competente. DETER ID 2630.</t>
  </si>
  <si>
    <t>Jefferson Barrim de Castro</t>
  </si>
  <si>
    <t>Zona rural do município de Altamira/Pará.
CAR: xxx</t>
  </si>
  <si>
    <t>75HIBWHQ</t>
  </si>
  <si>
    <t>Desmatar 6,06 ha de vegetação nativa em desacordo com a autorização concedida pelo órgão ambiental competente, de acordo com mapa anexo ao processo administrativo</t>
  </si>
  <si>
    <t>João da Silva</t>
  </si>
  <si>
    <t>Fazenda Água Branca II Goianésia-PA</t>
  </si>
  <si>
    <t>70 §1 72 Lei 9605/98; 3 II, VII 51 Decreto 6514/2008.</t>
  </si>
  <si>
    <t>C9WCW0OT</t>
  </si>
  <si>
    <t>Destruir 19 hectares de florestas, objeto de especial preservação, indicação de desmatamento Deter 89367, sem licença da autoridade ambiental competente.</t>
  </si>
  <si>
    <t>Irisvanda Vieira de Almeida</t>
  </si>
  <si>
    <t>Sítio São Lourenço</t>
  </si>
  <si>
    <t>225, 4° Constituição Federal.</t>
  </si>
  <si>
    <t>6JRRDOVI</t>
  </si>
  <si>
    <t>Deixar de apresentar informações ambientais nos prazos exigidos pela legislação, quando deixou de informar ao sistema oficial de controle florestal SIAM a saída de 2003,027 M3 de madeira de origem nativa, recebidos no recinto do dai empresa.</t>
  </si>
  <si>
    <t>UT Lavras</t>
  </si>
  <si>
    <t>MFSV2637</t>
  </si>
  <si>
    <t>Linha 06, km 13 ( sexta linha do Ribeirão)</t>
  </si>
  <si>
    <t>768CTOBH</t>
  </si>
  <si>
    <t>Vender 659,7303 m3 de madeira sem licença válida para todo o tempo de transporte e/ou armazenamento.</t>
  </si>
  <si>
    <t>Rua Geraldo Martins Costa, 780, bairro Acampamento, Carmo do Rio Claro/MG</t>
  </si>
  <si>
    <t>3J93SI70</t>
  </si>
  <si>
    <t>Pescar em local proibido (profundidades inferiores à 70 metros E ao norte do limite estabelecido pela IN SEAP 26/2008), com a embarcação VITÓRIA IC RGP SP 0003892</t>
  </si>
  <si>
    <t>UT itajai</t>
  </si>
  <si>
    <t>FU462OSC</t>
  </si>
  <si>
    <t>Destruir 346,185 hectares de floresta amazônica, no período de 29/01/2015 a 01/09/2019, na propriedade rural Fazenda Mula Branca, atingindo parte da Reserva Legal, sem autorização do órgão ambiental competente.</t>
  </si>
  <si>
    <t>Cumaru do Norte</t>
  </si>
  <si>
    <t>DALTON HERNANDEZ REIS</t>
  </si>
  <si>
    <t>Fazenda Mula Branca</t>
  </si>
  <si>
    <t>50 § 2 Decreto 6514/2008; 51 Decreto 6514/2008.</t>
  </si>
  <si>
    <t>MTUHVH0P</t>
  </si>
  <si>
    <t>Desmatar a corte raso 21,54 hectares de vegetação nativa, caracterizada como Cerrado, sem autorização de supressão de vegetação emitida pela autoridade ambiental competente.</t>
  </si>
  <si>
    <t>MARCELO GAIA</t>
  </si>
  <si>
    <t>Fazenda Morada Nova. Zona Rural. Carolina.</t>
  </si>
  <si>
    <t>AML1GETZ</t>
  </si>
  <si>
    <t>Destruir 119,892 hectares de floresta, objeto de especial preservação, no período de 04/12/2015 a 04/09/2019, na propriedade rural Fazenda Jundiara, sem autorização do órgão ambiental competente.</t>
  </si>
  <si>
    <t>Alta Floresta</t>
  </si>
  <si>
    <t>LUIZ CARLOS FAVARO</t>
  </si>
  <si>
    <t>Fazenda Jundiara</t>
  </si>
  <si>
    <t>X8M2ZGJV</t>
  </si>
  <si>
    <t>Destruir 22,66 hectares de floresta, objeto de especial preservação, no período de 12/02/2016 a 12/05/2016, na propriedade rural Fazenda Noroeste, sem autorização do órgão ambiental competente.</t>
  </si>
  <si>
    <t>Edson Airto Ropke</t>
  </si>
  <si>
    <t>Fazenda Noroeste</t>
  </si>
  <si>
    <t>MU1EHM7K</t>
  </si>
  <si>
    <t>Construir obras: consideradas potencialmente degradadoras, quiosques, piscina e quadra de areia em área de  preservação permanente, nascente e margem direita do córrego, existente na propriedade, lote 25, sem autorização do órgão ambiental competente.</t>
  </si>
  <si>
    <t>Aral Moreira</t>
  </si>
  <si>
    <t>Luiz Carlos Ricardo Sanches</t>
  </si>
  <si>
    <t>Pesqueiro Balneário da Família</t>
  </si>
  <si>
    <t>QV8T76AJ</t>
  </si>
  <si>
    <t>DESTRUIR 243, 25 HECTARES DE FLORESTA NATIVA NO BIOMA AMAZÔNIA (AMAZÔNIA LEGAL) OBJETO DE ESPECIAL PRESERVAÇÃO, SEM AUTORIZAÇÃO DA AUTORIDADE COMPETENTE, ID 2636 COORDENADAS CENTROIDE: 07 14 27 S E 55 25 08 W.</t>
  </si>
  <si>
    <t>ODILON CARLOS CAMARGO</t>
  </si>
  <si>
    <t>FAZENDA JAMANCHIM</t>
  </si>
  <si>
    <t>H7LV8OS7</t>
  </si>
  <si>
    <t>Fazer Funcionar atividade potencialmente poluidora fabricação de gesso, sem autorização do órgão ambiental competente.</t>
  </si>
  <si>
    <t>ANDRE DA SILVA OLIVEIRA EIRELI</t>
  </si>
  <si>
    <t>Sítio Mandacaru, S/N Zona Rural Trindade/PE</t>
  </si>
  <si>
    <t>SEWY5GCX</t>
  </si>
  <si>
    <t>Descumprir o embargo em 189,5 hectares objeto de Auto de infração 9046221 E e Termo de embargo 670594E por destruição de área de floresta nativa sem autorização do órgão ambiental competente.</t>
  </si>
  <si>
    <t>Fortunato Borin Neto</t>
  </si>
  <si>
    <t>área embargada Fortunato Borin Neto</t>
  </si>
  <si>
    <t>ROIPU21R</t>
  </si>
  <si>
    <t>Apresentar informação falsa em sistema oficial de controle ao declarar a área de 182,91 hectares como "Área Consolidada" na propriedade rural Fazenda Tiro Certo que foram desmatados após 22/08/2008.</t>
  </si>
  <si>
    <t>Valdirene Porto Miranda</t>
  </si>
  <si>
    <t>COFIS</t>
  </si>
  <si>
    <t>O5A3O4NY</t>
  </si>
  <si>
    <t>Destruir 160,73 hectares de floresta nativa, no período entre 05/08/2017 e 15/08/2019, em área de Floresta Amazônica sem autorização do órgão ambiental competente. (Desta área, 47 hectares estão dentro da área de Reserva Legal declarada na propriedade Fazenda Tiro Certo).</t>
  </si>
  <si>
    <t>Fazenda Tiro Certo, Seringal Madeirinha</t>
  </si>
  <si>
    <t>E7XYL1L1</t>
  </si>
  <si>
    <t>Impedir a regeneração natural de vegetação nativa de 189,5 hectares objeto de Auto de infração 9046221 E e do Termo de embargo 670594E consumada mediante uso do fogo e provocando incêndio florestal.</t>
  </si>
  <si>
    <t>área embargada xxx</t>
  </si>
  <si>
    <t>48 1º Decreto 6514; 70 1º Lei 9605; 72 Lei 9605; 3º II Decreto 6514.</t>
  </si>
  <si>
    <t>8C863N62</t>
  </si>
  <si>
    <t>Transportar 01 (um) espécime vivo da fauna silvestre nativa, sendo um Tatu china; sem autorização da autoridade ambiental competente.</t>
  </si>
  <si>
    <t>Porto Franco</t>
  </si>
  <si>
    <t>Jose Nilson da Silva</t>
  </si>
  <si>
    <t>Recepção do Real Plaza Hotel - 
Município de Porto Franco - Ma</t>
  </si>
  <si>
    <t>5BN7ELXO</t>
  </si>
  <si>
    <t>Destruir 8,92 hectares de floresta nativa em estágio médio de regeneração, do bioma Mata Atlântica, objetivo de especial preservação, sem autorização da autoridade ambiental competente.</t>
  </si>
  <si>
    <t>Marmeleiro</t>
  </si>
  <si>
    <t>CIRIO CIECHOWICZ</t>
  </si>
  <si>
    <t>Zona Rural, linha Guaraci, matrículas xxx e xxx.</t>
  </si>
  <si>
    <t>1N7RV4JG</t>
  </si>
  <si>
    <t>Fazer funcionar estabelecimento potencialmente poluidor e utilizador de recursos naturais, fábrica de gesso, sem a Licença de Operação expedida pelada autoridade ambiental competente.</t>
  </si>
  <si>
    <t>Daniel Pereira Gregório</t>
  </si>
  <si>
    <t>Empresa Informal - Sítio Mandacaru S/N - Zona Rural de Trindade-PE</t>
  </si>
  <si>
    <t>21J0L51W</t>
  </si>
  <si>
    <t>FAZER FUNCIONAR EMPREENDIMENTO POTENCIALMENTE POLUIDOR E UTILIZADOR DE RECURSOS NATURAIS (FÁBRICA DE GESSO) SEM LICENÇA AMBIENTAL DE OPERAÇ¿O DO ÓRGÃO COMPETENTE.</t>
  </si>
  <si>
    <t>FRANCISCO BARBOZA LUNA</t>
  </si>
  <si>
    <t>EMPRESA FRANCISCO BARBOZA LUNA, INSTALADA NA ANTIGA GESSO COMETA, ROD.VPE 630, KM 06</t>
  </si>
  <si>
    <t>KMLYRPJL</t>
  </si>
  <si>
    <t>TER EM DEPÓSITO, PARA FINS INDUSTRIAIS (FABRICAÇ¿O DE GESSO) 15 ST (QUINZE ESTÉREOS) DE LENHA NATIVA DA CAATINGA DE ESSÊNCIAS FLORESTAIS DIVERSAS (ANGICO, TIPÉ, CATINGUEIRA, MARMELEIRO, ETC.) SEM DOCUMENTO DE ORIGEM FLORESTAL - DOF.</t>
  </si>
  <si>
    <t>EMPRESA INSTALADA NA ANTIGA GESSO COMETA, ROD. PE 630 KM 6</t>
  </si>
  <si>
    <t>31, CAPUT IN IBAMA 21/2014.</t>
  </si>
  <si>
    <t>EE9B95S8</t>
  </si>
  <si>
    <t>Destruir 7.30, hectares de floresta nativa, sem autorização Prévia do órgão ambiental competente. no polígono ID 2019AWS000014292-A, de coordenadas geográficas S 08 33'23,1" W 70 05'59,1", Os vértices do polígono encontrar-se Inseridos no mapa com análise temporal de imagem anexo</t>
  </si>
  <si>
    <t>Antonio Fabiano dos Santos da Silva</t>
  </si>
  <si>
    <t>Colônia 3 Barraca, localizada Seringal Santa Cruz. Lado direito da BR 364 km 47. ficando próximadamente 6 km em linha Reta do eixo da BR.</t>
  </si>
  <si>
    <t>TJ5B3IAQ</t>
  </si>
  <si>
    <t>Destruir 59.18 hectares de floresta nativa (Indicativo de desmatamento, alvo n. 2633), objeto de especial preservação, sem autorização ou licença da autoridade ambiental competente, na propriedade Sítio São Caetano, coordenadas geográficas centrais  Lat: 07 47 00,56 S Longo: 054 56 34,66 W, conforme mapa em anexo com análise temporal com imagens de satélite.</t>
  </si>
  <si>
    <t>ORLANDO CAETANO DA SILVA</t>
  </si>
  <si>
    <t>Fazenda Sítio São Caetano. zona rural de Altamira.</t>
  </si>
  <si>
    <t>50 Decreto 6514/2008; 60 Inc. 1,2 Decreto 6514/2008.</t>
  </si>
  <si>
    <t>X223O6KR</t>
  </si>
  <si>
    <t>Utilizar em desacordo a licença de criador de passeiforme ao manter 01 trinca ferro sem anilha, 04 coleiros Papa capim sem anilha, 01 trinca ferro ( Saltator similis ) anilha IBAMA OA 3,5 355351 e coleiro papa capim ( Sporophila caerulescens) anilha IBAMA OA 2,2 155770 e não manter em sua residência os pássaros coleiro papa capim anilha IBAMA OA 2,2 143613 e SISPASS 2,2 ES/A 006063.</t>
  </si>
  <si>
    <t>Muqui</t>
  </si>
  <si>
    <t>Renato da Silva</t>
  </si>
  <si>
    <t>Rua Leonardo Fraga, 329. Bairro Entre Morros. Muqui.</t>
  </si>
  <si>
    <t>UFSFZLWF</t>
  </si>
  <si>
    <t>Destruir 33 hectares de vegetação nativa no bioma Amazônia, objeto de especial preservação, no sítio Santo Antônio, indicativo de desmatamento extra00 sem autorização do órgão ambiental competente.</t>
  </si>
  <si>
    <t>Tamires Lages Ferreira</t>
  </si>
  <si>
    <t>Sítio Santo Antônio</t>
  </si>
  <si>
    <t>1E1TZ9UZ</t>
  </si>
  <si>
    <t>Apresentar informação falsa no sistema oficial de controle SISFLORA sendo 204,0311 metros cúbicos de madeiras movimentados para a empresa Matos Comércio de Madeiras Eireli ME inexistente de fato</t>
  </si>
  <si>
    <t>Indústria Comércio e Exportação de Madeiras Aquarius Eireli ME</t>
  </si>
  <si>
    <t>NUA06KLW</t>
  </si>
  <si>
    <t>Destruir 81,902 hectares de floresta Amazonica  nativa, objeto de especial preservação, em área de reserva legal da propriedade, sem autorização do órgão ambiental competente. Observo que o desmatamento foi identificado por meio de imagem de satélite, conforme ID 4661, a floresta foi destruída entre 24/05/2016 e 13/07/2017, segue carta imagem anexa ao Processo do Auto de infração.</t>
  </si>
  <si>
    <t>Adilson Nichel Gonçalves</t>
  </si>
  <si>
    <t>Sítio Walentina, Lábrea AM</t>
  </si>
  <si>
    <t>CGR6DIFF</t>
  </si>
  <si>
    <t>Destruir 78,923 hectares de floresta Amazonica  nativa, objeto de especial preservação, em área de reserva legal da propriedade, sem autorização do órgão ambiental competente. Observo que o desmatamento foi identificado por meio de imagem de satélite, conforme ID 4097, a floresta foi destruída entre 15/07/2015 e 01/09/2015, segue carta imagem anexa ao Processo do Auto de infração.</t>
  </si>
  <si>
    <t>Gaúcha do Norte</t>
  </si>
  <si>
    <t>ADEMAR LEANDRO MACHADO</t>
  </si>
  <si>
    <t>Fazenda Santa Luzia</t>
  </si>
  <si>
    <t>CMMFD7EZ</t>
  </si>
  <si>
    <t>Utilizar em desacordo licença de criador de passeriforme ao manter 01 trinca ferro ( Saltator similis) sem anilha, 04 papa capim ( Sporophila caerulescens) sem anilha, 01 trinca ferro anilha IBAMA OA 3,5 355351, 01 coleiro papa capim anilha IBAMA OA 2,2 155770 e não manter em sua residência os pássaros coleiro papa capim anilha IBAMA OA 2,2 143613 e SISPASS 2,2 ES/A 006063.</t>
  </si>
  <si>
    <t>RENATO DA SILVA</t>
  </si>
  <si>
    <t>Rua Leonardo Fraga, 439, Entre Morros, Muqui.</t>
  </si>
  <si>
    <t>QZCGHO1G</t>
  </si>
  <si>
    <t>Deixar de inscrever-se no cadastro técnico federal na categoria de serrarias com desdobramentos de madeira.</t>
  </si>
  <si>
    <t>Baturité</t>
  </si>
  <si>
    <t>Deixar de inscrever-se no Cadastro Técnico Federal, pessoa física, microempresa, empresa de pequeno porte, empresa de médio porte e empresa de grande porte.</t>
  </si>
  <si>
    <t>MARCENARIA DOIS IRMAOS LTDA ME</t>
  </si>
  <si>
    <t>Praça Osmar Marinho, 1601</t>
  </si>
  <si>
    <t>70 §1º 72 Lei 9605/98; 3º II 76 Decreto 6514/2008.</t>
  </si>
  <si>
    <t>S9TJIN2N</t>
  </si>
  <si>
    <t>Deixar de apresentar relatórios ambientais periodo 2018/2017, nos prazos exigidos pela Legislação.</t>
  </si>
  <si>
    <t>CARBALLO FARO IMPORTACAO E DRISTRIBUICAO LTDA</t>
  </si>
  <si>
    <t>6AQGZI32</t>
  </si>
  <si>
    <t>Fazer funcionar atividade potencialmente poluidora, fabricação de gesso, sem autorização do órgão ambiental competente - CPRH.</t>
  </si>
  <si>
    <t>Maria Jaciane de Lima Gesso Vitalino</t>
  </si>
  <si>
    <t>Maria Jaciane de Lima Santos Gesso</t>
  </si>
  <si>
    <t>F8MMI9CO</t>
  </si>
  <si>
    <t>Executar lavra de minerais sobre área de 0,3 hectare sem a competente autorização, permissão, concessão ou licença da autoridade ambiental competente.</t>
  </si>
  <si>
    <t>Juruena</t>
  </si>
  <si>
    <t>Hamilton Leme dos Santos</t>
  </si>
  <si>
    <t>Assentamento Vale do Amanhecer</t>
  </si>
  <si>
    <t>63 Decreto 6514; 70 1º Lei 9605; 72 Lei 9605; 3º II Decreto 6514; 3º IV Decreto 6514; 3º VII Decreto 6514.</t>
  </si>
  <si>
    <t>O0ZCRWV9</t>
  </si>
  <si>
    <t>Ter em deposito 49 St de lenha oriundas da caatinga, das espécies marmeleiro e tipé, sem a cobertura do competente documento de Origem Florestal - DOF</t>
  </si>
  <si>
    <t>FRANCISCO DA SILVA LIMA ME</t>
  </si>
  <si>
    <t>ROD. PE 630 - KM 04 -Zona Rural de Trindade -PEA</t>
  </si>
  <si>
    <t>ESZV199G</t>
  </si>
  <si>
    <t>Introduzir 4 espécimes exoticos (tarins) no país sem autorizacao</t>
  </si>
  <si>
    <t>DIEGO LEMOS DA SILVA</t>
  </si>
  <si>
    <t>Rua Iolando Zanardini Camargo 19 Tindiquera Araucária/PR</t>
  </si>
  <si>
    <t>25 Decreto 6514; 70 1º Lei 9605; 72 Lei 9605; 3º II Decreto 6514; 3º IV Decreto 6514.</t>
  </si>
  <si>
    <t>Q27EYOV9</t>
  </si>
  <si>
    <t>Utilizar os três curiós do seu plantel SISPASS em desacordo com a licença obtida.</t>
  </si>
  <si>
    <t>Santa Isabel do Pará</t>
  </si>
  <si>
    <t>JACÓ JAIME SILVA VARELA</t>
  </si>
  <si>
    <t>Avenida Benjamim Constant, 1443, Centro, Santa Isabel do Pará, PA.</t>
  </si>
  <si>
    <t>24 3º I Decreto 6514; 24 6º I Decreto 6514; 70 1º Lei 9605; 72 Lei 9605; 3º II Decreto 6514; 3º IV Decreto 6514; 3º IX Decreto 6514.</t>
  </si>
  <si>
    <t>C3RCMGPT</t>
  </si>
  <si>
    <t>Utilizar 8 passerirormes silvestres nativos em desacordo com a licenca de criador amadorista de passeriformes (1 trinca ferro anilha ibama 04/05 3,5 101082 constante na relacao do criador nao se encontrava no plantei no dia da vistoria, 1 pintassilgo sispass 2.4 pr/a 003280 estava no local mas nao constava na relacao e outros 6 passaros regulares porem acobertando a licenca)</t>
  </si>
  <si>
    <t>Rua Yolando Zanardini Camargo 19 Tindiquera Araucária PR</t>
  </si>
  <si>
    <t>24 Decreto 6514; 70 1º Lei 9605; 72 Lei 9605; 3º II Decreto 6514; 3º IV Decreto 6514; 3º IX Decreto 6514.</t>
  </si>
  <si>
    <t>ODE1XBAK</t>
  </si>
  <si>
    <t>A D B COSTA MATERIAL DE CONSTRUCAO. ROD PE 630, KM 07</t>
  </si>
  <si>
    <t>FL8UEGCU</t>
  </si>
  <si>
    <t>Funcionar Comércio de Gás GLP, sem licença de operação do Orgão Ambiental competente, referente a Notificação nº 703553/E processo nº 02007.002099/2019.</t>
  </si>
  <si>
    <t>Construir, reformar, ampliar, instalar ou fazer funcionar estabelecimentos, obras ou serviços potencialmente poluidores ou utilizadores de recursos naturais, sem licença ou autorização dos órgãos ambientais competentes, em desacordo com a licença obtida ou contrariando as normas legais e regulamentos pertinentes.</t>
  </si>
  <si>
    <t>RAPIGÁS LTDA</t>
  </si>
  <si>
    <t>3º, 66, II, VII DECRETO FEDERAL Nº 6514/08.</t>
  </si>
  <si>
    <t>KFLEPXBW</t>
  </si>
  <si>
    <t>Utilizar 13 (treze) espécimes da fauna silvestre nativa, não ameaçadas de extinção, em desacordo com a licença ambiental obtida. CTF xxx.</t>
  </si>
  <si>
    <t>Varginha</t>
  </si>
  <si>
    <t>CLEBER LEOPOLDINO DE OLIVEIRA</t>
  </si>
  <si>
    <t>Rua Padre Dionízio Chagas, 305, Fátima, Varginha, MG.</t>
  </si>
  <si>
    <t>DRUTMYG0</t>
  </si>
  <si>
    <t>Transportar 19,5249 m³ de madeira beneficiada sem licença ambiental outorgada pela autoridade competente.</t>
  </si>
  <si>
    <t>Antônio Cidiomar Lopes Callou</t>
  </si>
  <si>
    <t>Superintendência do Ibama em Teresina-PI</t>
  </si>
  <si>
    <t>XJBYQ27V</t>
  </si>
  <si>
    <t>Dificultar a ação do Poder Público no exercício de atividades de fiscalização ambiental ( importação de 01 bolsa de Python bivittatus sem a apresentação da licença CITES emitida pelo país de origem)</t>
  </si>
  <si>
    <t>GUCCI BRASIL IMPORTACAO E EXPORTACAO LTDA.</t>
  </si>
  <si>
    <t>Terminal de Cargas - IMPORTAÇÃO</t>
  </si>
  <si>
    <t>77 Decreto 6514; 70 1º Lei 9605; 72 Lei 9605; 3º II Decreto 6514; 3º IV Decreto 6514.</t>
  </si>
  <si>
    <t>ZTEY53SU</t>
  </si>
  <si>
    <t>Destruir 28,46 hectares de floresta nativa, na área de reserva legal, sem autorização do órgão Ambiental Competente, nas coordenadas 10° 47' 38,5 S e 69°14' 13,0" W de ID2019SAR000000045</t>
  </si>
  <si>
    <t>Manoel Prete</t>
  </si>
  <si>
    <t>Br 317, Sentido Brasileia/Assis Brasil, Ramal do Alemão, Colônia São Raimundo/Monalisa.</t>
  </si>
  <si>
    <t>DES GCDA BASE XXVIII</t>
  </si>
  <si>
    <t>AMY6P4MN</t>
  </si>
  <si>
    <t>Desmatar a corte raso 79,25 há com uso de fogo, florestas do bioma cerrado, fora da reserva legal, sem autorização da autoridade ambiental competente. ID2019DCD000009762.</t>
  </si>
  <si>
    <t>EDUARDO SILVA DA ROCHA</t>
  </si>
  <si>
    <t>Fazenda Nova Conquista, zona rural Município de Carolina/MA</t>
  </si>
  <si>
    <t>DB6WQ9A7</t>
  </si>
  <si>
    <t>Impedir a regeneração natural de vegetação, em área de preservação permanente-APP, mediante edificações de alvenaria, totalizando 1228,4m2 (0,1228ha) de área construída, localizada na Praia do Jacu, as margens do Rio Araguaia.</t>
  </si>
  <si>
    <t>Arapoema</t>
  </si>
  <si>
    <t>WAGNER MORAIS FERREIRA</t>
  </si>
  <si>
    <t>Praia do Jacu</t>
  </si>
  <si>
    <t>PCUMP67R</t>
  </si>
  <si>
    <t>Pescar em local proibido (profundidades inferiores à 70 metros E ao norte do limite estabelecido pela IN SEAP 26/2008), no período de 07/10/2015 à 26/10/2015 com a embarcação VITÓRIA IC, RGP SF 0003892.</t>
  </si>
  <si>
    <t>D36GDVWR</t>
  </si>
  <si>
    <t>Manter em cativeiro espécimes da fauna Silvestre sem autorização da autoridade ambiental competente</t>
  </si>
  <si>
    <t>Cariacica</t>
  </si>
  <si>
    <t>CLOVIS ANTONIO DA SILVA</t>
  </si>
  <si>
    <t>Boa Sorte, Cariacica</t>
  </si>
  <si>
    <t>24 III Decreto 6514; 70 1º Lei 9605; 72 Lei 9605; 3º II Decreto 6514; 3º IV Decreto 6514.</t>
  </si>
  <si>
    <t>4YMULO3A</t>
  </si>
  <si>
    <t>Impedir a regeneração natural de vegetação, em área de Preservação Permanente-APP, mediante edificações de alvenaria, totalizando 688,31m2(0,0638há), de área construída, localizada na Praia do Jacu, as margens do Rio Araguaia.</t>
  </si>
  <si>
    <t>JOSÉ EUSTAQUIO PIRES</t>
  </si>
  <si>
    <t>VC54YC28</t>
  </si>
  <si>
    <t>Impedir a regeneração natural de vegetação, em área de preservação permanente-APP, mediante edificações de alvenaria, totalizando 74,64m2 (0,0075ha) de área construída, localizada na Praia do Jacu, as margens do Rio Araguaia.</t>
  </si>
  <si>
    <t>FERNANDO JOSE PEREIRA BARROS</t>
  </si>
  <si>
    <t>HYA82ZBI</t>
  </si>
  <si>
    <t>Transportar 25,401 m3 de madeira serrada nativa da Amazônia, prevalecendo a espécie maçaranduba, sem licença válida outorgada pela autoridade competente.</t>
  </si>
  <si>
    <t>Geneziano Nascimento dos Santos</t>
  </si>
  <si>
    <t>Rodovia Transamazonica</t>
  </si>
  <si>
    <t>PLHF2SLY</t>
  </si>
  <si>
    <t>Impedir a regeneração natural de vegetação, em área de Preservação Permanente-APP, mediante edificações de alvenaria, totalizando 2.586,39m2(0,2586há), de área construída, localizada na Praia do Jacu, as margens do Rio Araguaia.</t>
  </si>
  <si>
    <t>MANOEL EVARISTO BRANDAO</t>
  </si>
  <si>
    <t>FP48GCJM</t>
  </si>
  <si>
    <t>Impedir a regeneração natural de vegetação, em área de preservação permanente-APP, mediante edificações de alvenaria, totalizando 220m2 (0.022ha) de área construída, localizada na Praia do Jacu, as margens do Rio Araguaia.</t>
  </si>
  <si>
    <t>JOSE PAULINO TORRES</t>
  </si>
  <si>
    <t>8CFG6O8B</t>
  </si>
  <si>
    <t>Destruir 103,538 hectares de vegetação nativa, objeto de especial preservação, no período entre 12/08/2016 a 11/09/2018, em área declarada como Reserva Legal da Fazenda Láquila, sem autorização prévia do órgão ambiental competente.</t>
  </si>
  <si>
    <t>MARIA DO SOCORRO COELHO DA COSTA</t>
  </si>
  <si>
    <t>7JPYY31O</t>
  </si>
  <si>
    <t>FRANCISCO DA SILVA LIMA - ME</t>
  </si>
  <si>
    <t>NN GESSO FRANCISCO DA SILVA ME</t>
  </si>
  <si>
    <t>TWCN4N7F</t>
  </si>
  <si>
    <t>Fazer funcionar atividade, potencialmente poluidora, fabricação de gesso, sem autorização do órgão ambiental competente.</t>
  </si>
  <si>
    <t>JOSE EDMILSON LOPES DA SILVA</t>
  </si>
  <si>
    <t>Sítio Mandacaru, 02 Zona Rural Trindade/PE</t>
  </si>
  <si>
    <t>UN016PPH</t>
  </si>
  <si>
    <t>Impedir a regeneração natural de vegetação, em área de Preservação Permanente-APP, mediante edificações de alvenaria, totalizando 122,75m2(0,00123há), de área construída, localizada na Praia do Jacu, as margens do Rio Araguaia.</t>
  </si>
  <si>
    <t>Walteir Santana da Rocha</t>
  </si>
  <si>
    <t>HSJ7GK69</t>
  </si>
  <si>
    <t>Impedir a regeneração natural de vegetação, em área de Preservação Permanente-APP, mediante edificações de alvenaria, totalizando 469,26m2(0,0469.há), de área construída, localizada na Praia do Jacu, as margens do Rio Araguaia.</t>
  </si>
  <si>
    <t>ANTONIO APARECIDO SALERNO</t>
  </si>
  <si>
    <t>AVIVKFFG</t>
  </si>
  <si>
    <t>Impedir a regeneração natural de vegetação, em área de Preservação Permanente-APP, mediante edificações de alvenaria, totalizando 432m2(0,432há), de área construída, localizada na Praia do Jacu, as margens do Rio Araguaia.</t>
  </si>
  <si>
    <t>Ornei Carvalho da Silva</t>
  </si>
  <si>
    <t>ZK92QM2F</t>
  </si>
  <si>
    <t>Transportar, no veículo QPN 8255, 39 espécimes da fauna silvestre nativa brasileira, sem autorização da autoridade ambiental competente.</t>
  </si>
  <si>
    <t>Sete Lagoas</t>
  </si>
  <si>
    <t>Adriano luiz cordeiro</t>
  </si>
  <si>
    <t>PRF Sete Lagoas</t>
  </si>
  <si>
    <t>TCI BOCAIUVA</t>
  </si>
  <si>
    <t>BH5LXX9F</t>
  </si>
  <si>
    <t>TER EM DEPÓSITO 20 ST DE LENHA DE ESPECIES DIVERSAS DA CAATINGA (TIPE, ANGICO, MARMELEIRO) SEM DOCUMENTO DE ORIGEM FLORESTAL - DOF</t>
  </si>
  <si>
    <t>IMPERATRIZ INDUSTRIA E COMERCIO DE GESSO LTDA EPP</t>
  </si>
  <si>
    <t>PÁTIO DA EMPRESA IMPERATRIZ. BR 316, KM 56, ESTRADA DE ACESSO AO SITIO BONITO</t>
  </si>
  <si>
    <t>LD8DXOWE</t>
  </si>
  <si>
    <t>TER EM DEPÓSITO 3 ESTEREOS DE LENHA DE ESPECIES NATIVAS DA CAATINGA, SEM DOCUMENTO DE ORIGEM FLORESTAL - DOF</t>
  </si>
  <si>
    <t>F M DE SOUZA FERRAZ</t>
  </si>
  <si>
    <t>EMPRESA F M DE SOUZA FERRAZ, SITIO MANDACARU, ACESSO PELA BR 316, KM 59</t>
  </si>
  <si>
    <t>ZMTA7DO3</t>
  </si>
  <si>
    <t>Impedir a regeneração natural de vegetação, em área de preservação permanente-APP, mediante edificações de alvenaria, totalizando 272,88m2 (0,0273ha) de área construída, localizada na Praia do Jacu, as margens do Rio Araguaia.</t>
  </si>
  <si>
    <t>MARIA ELISA DORNELAS DUTRA MOREIRA</t>
  </si>
  <si>
    <t>RW40O94P</t>
  </si>
  <si>
    <t>EMPRESA FM DE SOUZA FERRAZ ME, SITIO MANDACARU, ACESSO PELA BR 316, KM 59</t>
  </si>
  <si>
    <t>TQIYWTN5</t>
  </si>
  <si>
    <t>IMPEDIR A REGENERAÇÃO NATURAL DE VEGETAÇÃO EM ÁREA DE PRESERVAÇÃO PERMANENTE - APP, MEDIANTE EDIFICAÇÃO DE ALVENARIA, TOTALIZANDO 142,8 m2 (0,0143ha) DE AREA CONSTRUIDA, LOCALIZADA NA PRAIA DO JACÚ.</t>
  </si>
  <si>
    <t>EWALDO BORGES DE REZENDE</t>
  </si>
  <si>
    <t>UOL2W2YC</t>
  </si>
  <si>
    <t>Portar motoserra sem licença da autoridade ambiental.</t>
  </si>
  <si>
    <t>Gildazio Bispo de Oliveira</t>
  </si>
  <si>
    <t>Sítio Murici</t>
  </si>
  <si>
    <t>DB6PKPXX</t>
  </si>
  <si>
    <t>Fazer funcionar temporada de praia(Praia do Jacu), em desacordo com a Autorização (Autorização Ambiental - Praia Temporada Requerimento: 188/2019, expedida em 03/06/2019), às margens do Rio Araguaia, município de Arapoema/TO, mediante construções permanentes de quiosques (bares), de alvenaria e sem a retirada das estruturas ao final da temporada.</t>
  </si>
  <si>
    <t>MUNICIPIO DE ARAPOEMA</t>
  </si>
  <si>
    <t>A0FUC7L7</t>
  </si>
  <si>
    <t>Apresentar informação falsa no sistema oficial de controle SISFLORA, sendo 235,6546 metros cúbicos de madeiras movimentados para a empresa Matos Comércio de Madeiras Eireli ME inexistente de fato.</t>
  </si>
  <si>
    <t>Cumaru Madeiras Eireli ME</t>
  </si>
  <si>
    <t>B2D9ZFMJ</t>
  </si>
  <si>
    <t>Impedir a regeneração natural da vegetação em Área de Preservação Permanente-APP, mediante a edificações de alvenaria, totalizando 90m2 (0,009ha) de área construída localizada na Praia do Caju, municipio de Arapoema/TO, às margens do Rio Araguaia.</t>
  </si>
  <si>
    <t>Clerilton Souto de Oliveira</t>
  </si>
  <si>
    <t>IUCE3VV8</t>
  </si>
  <si>
    <t>IMPEDIR A REGENERAÇÃO NATURAL DE VEGETAÇÃO, EM ÁREA DE PRESERVAÇÃO PERMANENTE-APP, MEDIANTE EDIFICAÇÕES DE ALVENARIA, TOTALIZANDO 150 m2 (0,015 ha) DE ÁREA CONSTRUÍDA, LOCALIZADA NA PEAIA DO JACU, MUNICÍPIO DE ARAPOEMA/TO, ÀS MARGENS DO RIO ARAGUAIA.</t>
  </si>
  <si>
    <t>WELLINGTON DE SOUSA ESPINDULA</t>
  </si>
  <si>
    <t>Praia doJacu</t>
  </si>
  <si>
    <t>N7T3ZSI7</t>
  </si>
  <si>
    <t>Impedir a regeneração natural da vegetação em Área de Preservação Permanente-APP, mediante a edificações de alvenaria, totalizando 76,56m2 (0,02ha) de área construída localizada na Praia do Caju, municipio de Arapoema/TO, às margens do Rio Araguaia.</t>
  </si>
  <si>
    <t>João Paulo da Silva</t>
  </si>
  <si>
    <t>NTC3JDWZ</t>
  </si>
  <si>
    <t>Impedir a regeneração natural da vegetação em Área de Preservação Permanente-APP, mediante a edificações de alvenaria, totalizando 156m2 (0,0156ha) de área construída localizada na Praia do Caju, municipio de Arapoema/TO, às margens do Rio Araguaia.</t>
  </si>
  <si>
    <t>RICARDO OLIVEIRA ALVES</t>
  </si>
  <si>
    <t>6SDONL0Z</t>
  </si>
  <si>
    <t>Impedir a regeneração natural da vegetação em Área de Preservação Permanente-APP, mediante a edificações de alvenaria, totalizando 199,5m2 (0,02ha) de área construída localizada na Praia do Caju, municipio de Arapoema/TO, às margens do Rio Araguaia.</t>
  </si>
  <si>
    <t>CELIO PORFIRIO DE OLIVEIRA</t>
  </si>
  <si>
    <t>50OE7GQ2</t>
  </si>
  <si>
    <t>Impedir a regeneração natural da vegetação em Área de Preservação Permanente-APP, mediante a edificações de alvenaria, totalizando 76,56m2 (00,0077ha) de área construída localizada na Praia do Caju, municipio de Arapoema/TO, às margens do Rio Araguaia.</t>
  </si>
  <si>
    <t>Evair Becalli</t>
  </si>
  <si>
    <t>Praia do Caju</t>
  </si>
  <si>
    <t>X473HJVN</t>
  </si>
  <si>
    <t>Deixar, aquele que tem obrigação, de dar destinação ambientalmente adequada a resíduos (carga abandonada AWB HREMEXPR 406 0434 3975 797939T3LL) quando assim determinar a lei ou ato normativo, conforme laudo de constatação (Relatório de fiscalização xxx).</t>
  </si>
  <si>
    <t>MONDELEZ BRASIL LTDA</t>
  </si>
  <si>
    <t>Aeroporto Internacional de Viracopos. Terminal de cargas.</t>
  </si>
  <si>
    <t>Z1BR4GEP</t>
  </si>
  <si>
    <t>Deixar de atender às exigências legais ou regulamentares quando devidamente notificado pela autoridade ambiental competente no prazo concedido, visando a regularização, correção ou adoção de medidas de controle para cessar a degradação ambiental - não atendimento da notificação contida no Ofício xxx.</t>
  </si>
  <si>
    <t>TNRRKACS</t>
  </si>
  <si>
    <t>Corta 25 árvores da espécie araucária, espécie protegida, sem permissão da autoridade ambiental competente. local do corte da araucária, rua Cap. Francisco Antônio Araújo, Chácara Pagnoncelli, Palmas, PR.</t>
  </si>
  <si>
    <t>Carlos Alexandre Rambo</t>
  </si>
  <si>
    <t>Linha Rio Pinheiro, s/n,</t>
  </si>
  <si>
    <t>4ELA063Q</t>
  </si>
  <si>
    <t>Desmatar 28 hectares de Floresta nativa em área de reserva legal, sem autorização prévia do órgão ambiental competente, bioma Amazônico, referente ao ID. 77911.</t>
  </si>
  <si>
    <t>Sítio Murici 1</t>
  </si>
  <si>
    <t>51 Decreto 6514/2008; 60 Inc. 1 Decreto 6514/2008.</t>
  </si>
  <si>
    <t>7W9LVI8X</t>
  </si>
  <si>
    <t>Deixar de atender às exigências legais ou regulamentares quando devidamente notificado pela autoridade ambiental competente no prazo concedido, visando a regularização, correção ou adoção de medidas de controle para cessar a degradação ambiental - Não atendimento da notificação contida no ofício nº xxx.</t>
  </si>
  <si>
    <t>SANOFI MEDLEY FARMACEUTICA LTDA.</t>
  </si>
  <si>
    <t>G7ZHIWLS</t>
  </si>
  <si>
    <t>Deixar, aquele que tem obrigação, de dar destinação ambientalmente adequada a resíduos (carga abandonada AWB 865 1039 9653 e HAWB 10093883) quando assim determinar a lei ou ato normativo, conforme laudo de constatação (relatório de fiscalização nº xxx.</t>
  </si>
  <si>
    <t>7AM7E70W</t>
  </si>
  <si>
    <t>Deixar, aquele que tem obrigação de dar destinação ambientalmente adequada a resíduos (carga abandonada conhecimento aéreo HREMEXPR 023 6078 7613 24856509065) quando assim determinar a lei ou ato normativo, conforme laudo de constatação (Relatório de fiscalização xxx).</t>
  </si>
  <si>
    <t>Digam Indústria e Comércio Ltda</t>
  </si>
  <si>
    <t>JDJ19L3V</t>
  </si>
  <si>
    <t>Deixar de atender a exigências legais ou regulamentares quando devidamente notificado pela autoridade ambiental competente no prazo concedido, visando a regularização, correção ou adoção de medidas de controle para cessar a degradação ambiental-não atendimento da notificação contida no Ofício xxx.</t>
  </si>
  <si>
    <t>0JTTUXJ0</t>
  </si>
  <si>
    <t>FERNANDO DOS SANTOS AMORIM - ME</t>
  </si>
  <si>
    <t>EMPRESA GESSO NASCENTE, SITIO MANDACARU, ACESSO PELA BR 316, KM 59</t>
  </si>
  <si>
    <t>KV40I6XC</t>
  </si>
  <si>
    <t>Advanced Comércio de Produtos para Diagnósticos LTDA</t>
  </si>
  <si>
    <t>YW82JZWO</t>
  </si>
  <si>
    <t>Fazer funcionar atividades potencialmente poluidoras, fabricação de gesso, sem autorização do órgão ambiental competente</t>
  </si>
  <si>
    <t>MOECI MODESTO MACEDO - EPP</t>
  </si>
  <si>
    <t>Moeci Modesto Macedo EPP Gesso Casa Nova</t>
  </si>
  <si>
    <t>4MJTY2HM</t>
  </si>
  <si>
    <t>TRANSPORTAR 39,102 M3 (METROS CÚBICOS) DE MADEIRA SERRADA DE VARIADAS ESSÊNCIAS FLORESTAIS, SEM LICENÇA VÁLIDA PARA TODO O TEMPO DA VIAGEM, OUTORGADA PELA AUTORIDADE COMPETENTE.</t>
  </si>
  <si>
    <t>CRISTINA MARIA CARDOSO FAUAZE</t>
  </si>
  <si>
    <t>Rodovia BR 010, KM 260 - Lagoa Verde - Imperatriz-MA - Posto da Polícia Rodoviária Federal.</t>
  </si>
  <si>
    <t>IMP/GEREX</t>
  </si>
  <si>
    <t>UT8LJU75</t>
  </si>
  <si>
    <t>Deixar de apresentar relatórios ambientais nos  anos de 2017,2018 e 2019, nos prazos exigidos  pela legislação.</t>
  </si>
  <si>
    <t>JOAQUIM MANOEL DA SILVA</t>
  </si>
  <si>
    <t>Ibama sede - Sain - setor L4, bloco c ,</t>
  </si>
  <si>
    <t>81 Decreto 6514; 70 1º Lei 9605; 72 Lei 9605; 3º II Decreto 6514; 3º VII Decreto 6514.</t>
  </si>
  <si>
    <t>8M49UVWN</t>
  </si>
  <si>
    <t>Receber, para fins comerciais, 23,567 m3 de madeira da essência maçaranduba, sem licença válida, apresentando o DOF número 21891338, com rota economicamente inviável.</t>
  </si>
  <si>
    <t>Divinópolis</t>
  </si>
  <si>
    <t>Cláudia José Rodrigues da Silva</t>
  </si>
  <si>
    <t>R Antônio Dellarett Filho, 1870</t>
  </si>
  <si>
    <t>47 1º Decreto 6514; 47 2º Decreto 6514; 70 1º Lei 9605; 72 Lei 9605; 3º II Decreto 6514.</t>
  </si>
  <si>
    <t>64SB1OF5</t>
  </si>
  <si>
    <t>Destruir 55,83 hectares de Floresta Nativa na Fazenda MV São Félix do Xingu, objeto de Especial Preservação, sem Autorização ou Licença da Autoridade Ambiental Competente</t>
  </si>
  <si>
    <t>Nilson Aparecido Ribeiro</t>
  </si>
  <si>
    <t>Fazenda MV São Félix do Xingu PA
Devido falhas técnica no aparelho está Ação foi feita em substituição a ação n° xxx</t>
  </si>
  <si>
    <t>UDC98IPS</t>
  </si>
  <si>
    <t>Danificar 135,54 ha de Floresta Amazônica, objeto de especial preservação, através de exploração seletiva, em área federal (Projeto de Assentamento Agroextrativista - PAE - CURUÁ II) sem autorização da autoridade ambiental competente.</t>
  </si>
  <si>
    <t>Pedro Costa Mendes</t>
  </si>
  <si>
    <t>Fazenda Verdão, PA CURUÁ II.</t>
  </si>
  <si>
    <t>MYK7DZII</t>
  </si>
  <si>
    <t>Deixar, aquele que tem obrigação, de dar destinação ambientalmente adequada a resíduos (carga abandonada AWB HREMEXPR 023 6107 3036 HAWB 83894934552 quando assim determinar a lei ou ato normativo, conforme laudo de constatação (Relatório de Fiscalização xxx).</t>
  </si>
  <si>
    <t>A276C8UM</t>
  </si>
  <si>
    <t>Destruir 283,33 hectares de Floresta Nativa na Fazenda  Sossego em São Félix do Xingu PA, Objeto de Especial Preservação, sem Autorização ou Licença da Autoridade Ambiental Competente.</t>
  </si>
  <si>
    <t>Jardson Mendes Messias</t>
  </si>
  <si>
    <t>Fazenda Sossego  São Félix do Xingu PA
AI feito em substituição ao AI n° VKETD90B</t>
  </si>
  <si>
    <t>9R772YMQ</t>
  </si>
  <si>
    <t>Danificar 50,80 ha de florestas de vegetação nativa,fora da reserva legal, sem aprovação prévia do órgão ambiental competente. ID2019RMOS000000001. Fazenda Extrema, zona rural do município de Estreito- MA.</t>
  </si>
  <si>
    <t>LEURIVAM MARINHO CUNHA</t>
  </si>
  <si>
    <t>Fazenda Extrema na Zona Rural do.Municipio Estreito. MA</t>
  </si>
  <si>
    <t>5M6NSS3Y</t>
  </si>
  <si>
    <t>Destruir 288,85 hectares de Floresta Nativa na Fazenda Mata Grande em São Félix do Xingu PA, Objeto de Especial Preservação, sem Autorização ou Licença da Autoridade Ambiental Competente.</t>
  </si>
  <si>
    <t>Jadson Mendes Messias</t>
  </si>
  <si>
    <t>Fazenda Mata Grande São Félix do Xingu PA</t>
  </si>
  <si>
    <t>VXUE8R4P</t>
  </si>
  <si>
    <t>Destruir 281,51 hectares de Floresta Nativa na Fazenda Recanto São Félix do Xingu PA, Objeto de Especial Preservação, sem Autorização ou Licença da Autoridade Ambiente Competente.</t>
  </si>
  <si>
    <t>Fazenda Recanto São Félix do Xingu PA</t>
  </si>
  <si>
    <t>N1UDLTT6</t>
  </si>
  <si>
    <t>TRANSPORTAR 25 ST. DE LENHA ORIUNDA DA CAATINGA, DAS ESPÉCIES ANGICO, AROEIRA, CAATINGUEIRA, CASCUDO, BARAÚNA, JUREMA PRETA E UMBURANA, NO CAMINHÃO MERCEDES BENZ PLACA GSB- 0672, SEM A COBERTURA DO COMPETENTE DOCUMENTO DE ORIGEM FLORESTAL DOF.</t>
  </si>
  <si>
    <t>Ouricuri</t>
  </si>
  <si>
    <t>ELIAS GOMES DA SILVA</t>
  </si>
  <si>
    <t>Avenida Fernando Bezerra, Ouricuri- PE</t>
  </si>
  <si>
    <t>2U3UUB01</t>
  </si>
  <si>
    <t>Deixar de atender às exigências legais ou regulamentares quando devidamente notificado pela autoridade ambiental competente no prazo concedido, visando a regularização, correção ou adoção de medidas de controle para acessar a degradação ambiental - Não atendimento da notificação contida no ofício nº xxx</t>
  </si>
  <si>
    <t>TANAC S A</t>
  </si>
  <si>
    <t>40J4QSX4</t>
  </si>
  <si>
    <t>Abandonar carga ( AWB 836 0062 6112) contendo produto perigoso  UN 2922, líquido corrosivo (Alcotan DW) (classe 6: tóxico, classe 8: corrosivo) no Aeroporto Internacional de Viracopos-São Paulo</t>
  </si>
  <si>
    <t>64 § 1 Decreto 6514/2008.</t>
  </si>
  <si>
    <t>J1EK77MN</t>
  </si>
  <si>
    <t>Destruir 297,28 hectares de Floresta Nativa na Fazenda Matão em São Félix do Xingu PA,   Objeto de Especial Preservação, sem Autorização ou Licença da Autoridade Ambiental Competente.</t>
  </si>
  <si>
    <t>Jadson Mendes  Messias</t>
  </si>
  <si>
    <t>Fazenda Matão  São Félix do Xingu PA</t>
  </si>
  <si>
    <t>VKETD90B</t>
  </si>
  <si>
    <t>Destruir 283,33 hectares de Floresta Nativa na Fazenda Sossego em São Félix do Xingu/PA, objeto de especial preservação, sem Autorização ou Licença da Autoridade Ambiente Competente.</t>
  </si>
  <si>
    <t>SCEN Trecho 2 Brasília/DF</t>
  </si>
  <si>
    <t>531N7D4I</t>
  </si>
  <si>
    <t>EDMILSON SOUSA DOS SANTOS</t>
  </si>
  <si>
    <t>9556GBS6</t>
  </si>
  <si>
    <t>Vender 132,1651 metros cúbicos de madeira serrada, sem autorização do órgão ambiental competente, sendo: 9,446 m3 da essência Anadenanthera peregrina; 11,29 m3 de Brosimum rubescens; 14,486 m3 de Dinizia excelsa; 11,043 m3 de Cariniana micranta; 10,02 m3 de Hymenolobium heterocarpum; 13,483 m3 de Peltogyne subsessilis; 25,18 m3 de Buchenavia grandis; 2,6655 m3 de Courataria tauari; 9,453 m3 de Hymenaea courbaril; e 25,0986 m3 de Qualea paraensis.</t>
  </si>
  <si>
    <t>NATALIA FERREIRA MACHADO - EIRELI - ME</t>
  </si>
  <si>
    <t>Natália Ferreira Machado Eireli</t>
  </si>
  <si>
    <t>DOF CONTROLE II</t>
  </si>
  <si>
    <t>WA9KQLPX</t>
  </si>
  <si>
    <t>Funcionar atividade considerada potencialmente poluidora (serraria e desdobramento de madeira), sem licença ambiental emitida pelo órgão ambiental competente.</t>
  </si>
  <si>
    <t>66 Decreto 6514; 70 1º Lei 9605; 72 Lei 9605; 3º II Decreto 6514; 3º IV Decreto 6514.</t>
  </si>
  <si>
    <t>2°, 1° Resolução CONAMA 273/97.</t>
  </si>
  <si>
    <t>AU7Q9TW3</t>
  </si>
  <si>
    <t>FAZER FUNCIONAR EMPREENDIMENTO POTENCIALMENTE POLUIDOR E UTILIZADOR DE RECURSOS NATURAIS (FÁBRICA DE GESSO) SEM LICENÇA AMBIENTAL DE OPERAÇ¿O EXPEDIDA PELO ÓRGÃO COMPETENTE.</t>
  </si>
  <si>
    <t>FRANCINALDO LOPES DA SILVA</t>
  </si>
  <si>
    <t>EMPRESA GESSO GUILHERME, ROD. BR 316, KM 56, SITIO MANDACARU, ESTRADA DE ACESSO AO SITIO BONITA</t>
  </si>
  <si>
    <t>V2XSD14A</t>
  </si>
  <si>
    <t>Deixar de atender a exigências legais ou regulamentares quando devidamente notificado pela autoridade ambiental competente no prazo concedido, visando à regularização, correção ou adoção de medidas de controle para cessar a degradação ambiental - Não atendimento da Notificação contida no Ofício n° xxx.</t>
  </si>
  <si>
    <t>ALS LABORATORIOS LS LTDA</t>
  </si>
  <si>
    <t>LURJ4DDT</t>
  </si>
  <si>
    <t>Deixar de entregar relatório RAPP nos prazos exigidos pela Legislação em vigor, nos periodos de 2019/2018, 2018/2017, 2017/2016, 2017/2016.</t>
  </si>
  <si>
    <t>PORTO DO PECÉM TRANSPORTADORA DE MINÉRIOS S.A</t>
  </si>
  <si>
    <t>Complexo Industrial e Portuário de Pecém</t>
  </si>
  <si>
    <t>0FPV5DDA</t>
  </si>
  <si>
    <t>Apresentar informação falsa no sistema oficial de controle SISFLORA, sendo 685,1127 metros cúbicos de madeiras movimentados para a empresa Matos Comércio de Madeiras Eireli ME inexistente de fato.</t>
  </si>
  <si>
    <t>A. GOMES INDUSTRIA E COMERCIO DE MADEIRAS EIRELI</t>
  </si>
  <si>
    <t>A. Gomes Comércio de Madeiras EPP</t>
  </si>
  <si>
    <t>82 3 II, IX Decreto 6514/2008; 70  § 1 72 Lei 9605/98.</t>
  </si>
  <si>
    <t>DTBKF8S6</t>
  </si>
  <si>
    <t>Ter em cativeiro espécimes da fauna silvestre nativa, sem autorização da autoridade competente.
OBS: Foram encontrados 02 (dois) Papagaios Verdadeiro, 02 (dois) Periquits Rico e 01 (um) Tucano.</t>
  </si>
  <si>
    <t>Tacuru</t>
  </si>
  <si>
    <t>Vitorina Canteiro</t>
  </si>
  <si>
    <t>Na residência da Sra Vitorina Canteiro.</t>
  </si>
  <si>
    <t>QJW6WG5F</t>
  </si>
  <si>
    <t>Deixar de atender a exigências legais ou regulamentares quando devidamente notificado pela autoridade ambiental competente no prazo concedido visando à regularização, correção ou adoção de medidas de controle para cessar a degradação ambiental - Não atendimento da Notificação contida no Ofício n° xxx.</t>
  </si>
  <si>
    <t>Klonelife do Brasil Comércio de Produtos de Biotecnologia Eireli</t>
  </si>
  <si>
    <t>B66JEIXM</t>
  </si>
  <si>
    <t>Deixar, aquele que tem obrigação, de dar destinação ambientalmente adequada a resíduos (carga abandonada AWB 023 6331 0240 HAWB 50997823693) quando assim determinar a lei ou ato normativo, conforme laudo de constatação (Relatório de Fiscalização xxx).</t>
  </si>
  <si>
    <t>RGMVGAHC</t>
  </si>
  <si>
    <t>Deixar, aquele que tem obrigação, de dar destinação ambientalmente adequada a resíduos (carga abandonada AWB 023 6446 8493 HAWB 50997844511) quando assim determinar a lei ou ato normativo, conforme laudo de constatação (Relatório de Fiscalização xxx)</t>
  </si>
  <si>
    <t>Klonelife do Brasil Comércio de Produtos de Biotecnologia EIRELI</t>
  </si>
  <si>
    <t>50VBI2PJ</t>
  </si>
  <si>
    <t>Deixar, aquele que tem obrigação, de dar destinação ambientalmente adequada a resíduos (carga abandonada AWB 549 2462 4051) quando assim determinar a lei ou ato normativo conforme laudo de constatação (Relatório de Fiscalização n° xxx).</t>
  </si>
  <si>
    <t>C14OV3E5</t>
  </si>
  <si>
    <t>Transportar 41,480 M3 de madeira serrada de essências diversas, sem licença da autoridade competente.</t>
  </si>
  <si>
    <t>Oeiras</t>
  </si>
  <si>
    <t>ABRAÃO GOMES VARELA</t>
  </si>
  <si>
    <t>Delegacia de Polícia Cívil de Oeiras, localizada na Rua Conego Cardoso S/N, do Estado do Piauí.</t>
  </si>
  <si>
    <t>ZC55JTU4</t>
  </si>
  <si>
    <t>Ter em depósito 03 estéreos de lenha da tipé e catingueira, espécies nativas da caatinga, sem o Documento de Origem Florestal - DOF</t>
  </si>
  <si>
    <t>EDIVAN DA SILVA SANTOS ME</t>
  </si>
  <si>
    <t>Empresa Eliabe Gesso, BR 316, Sítio Mandacaru, Zona Rural de Trindade-PE</t>
  </si>
  <si>
    <t>PJS54OUL</t>
  </si>
  <si>
    <t>.......................Fazer funcionar estabelecimento potencialmente poluidor e utilizador de recursos naturais, fábrica de gesso, sem licença válida emitida pela autoridade ambiental competente.</t>
  </si>
  <si>
    <t>Empresa Eliabe Gesso</t>
  </si>
  <si>
    <t>5HK9JERM</t>
  </si>
  <si>
    <t>Ter em depósito produto perigoso a saúde humana e ao meio ambiente em desacordo com as exigências estabelecidas em leis e seus regulamentos, num total de 23 kg de agrotóxicos ilegais oriundos de contrabando, mais 2 embalagens vazias.</t>
  </si>
  <si>
    <t>Guaíra</t>
  </si>
  <si>
    <t>Paulo Roberto Vanin</t>
  </si>
  <si>
    <t>Localidade de Maracaju dos Gaúchos.</t>
  </si>
  <si>
    <t>AGR CORTINA DE FERRO II</t>
  </si>
  <si>
    <t>64 Decreto 6514; 70 1º Lei 9605; 72 Lei 9605; 3º II Decreto 6514; 3º IV Decreto 6514.</t>
  </si>
  <si>
    <t>F672XMST</t>
  </si>
  <si>
    <t>Explorar 196,452ha, de vegetação nativa do tipo cerrado pelo método de gradagem na Fazenda Imperador, sem autorização do órgão ambiental competente.</t>
  </si>
  <si>
    <t>Pium</t>
  </si>
  <si>
    <t>DANIEL REBESCHINI</t>
  </si>
  <si>
    <t>Fazenda Imperador</t>
  </si>
  <si>
    <t>YR9IZB8G</t>
  </si>
  <si>
    <t>TER EM DEPÓSITO 04 ST (QUATRO ESTÉREOS) DE LENHA NATIVA DA CAATINGA, DE ESSÊNCIAS FLORESTAIS DIVERSAS (UMBURANA, CATINGUEIRA, ETC.); 12 M3 (DOZE METROS CUBICOS) DE MOURÕES DE ANGICO E 35 M3 (TRINTA E CINCO METROS CUBICOS) DE ESTACAS DE ANGICO SEM DOCUMENTO DE ORIGEM FLORESTAL - DOF.</t>
  </si>
  <si>
    <t>MB DA SILVA GESSO ME</t>
  </si>
  <si>
    <t>GESSO BERNARDO, ROD. PE 630, SITIO JUÁ, S/N</t>
  </si>
  <si>
    <t>RWYNKYKC</t>
  </si>
  <si>
    <t>Danificar 244,034ha de vegetação nativa pelo método de gradagem no interior da Área de Reserva Legal-ARL da Fazenda Imperador, sem autorização do órgão ambiental competente.</t>
  </si>
  <si>
    <t>61JVXMEM</t>
  </si>
  <si>
    <t>Desmatar a corte raso 136,56 ha de cerrado na Fazenda Bandeira sem autorização da autoridade ambiental competente.</t>
  </si>
  <si>
    <t>JOSE ROBERTO SIQUEIRA</t>
  </si>
  <si>
    <t>Fazenda Bandeira</t>
  </si>
  <si>
    <t>DES ROTINA X</t>
  </si>
  <si>
    <t>52, caput 6514.</t>
  </si>
  <si>
    <t>7OV8TR8T</t>
  </si>
  <si>
    <t>Deixar de atender a exigência legal quando devidamente notificado pela autoridade ambiental competente, conforme Notificação 698178/E, visando à regularização do depósito de agrotóxicos da Fazenda Mutuca (Urucuia/MG).</t>
  </si>
  <si>
    <t>Urucuia</t>
  </si>
  <si>
    <t>JOÃO DE DEUS TAVARES DE MELO E OUTROS</t>
  </si>
  <si>
    <t>Fazenda Mutuca, zona rural de Urucuia/MG.</t>
  </si>
  <si>
    <t>55JV12FC</t>
  </si>
  <si>
    <t>Deixar de atender a exigência legal quando devidamente notificado pela autoridade ambiental competente, conforme Notificação 698176/E, visando à regularização do depósito de agrotóxicos da Fazenda Mutuca (Urucuia/MG).</t>
  </si>
  <si>
    <t>2CFS3AJ0</t>
  </si>
  <si>
    <t>desmatar a corte raso 136,56 ha de cerrado na fazenda Bandeira sem a autorização da autoridade ambiental competente.</t>
  </si>
  <si>
    <t>Ronaldo Matos da Silva</t>
  </si>
  <si>
    <t>LZ0PN7XL</t>
  </si>
  <si>
    <t>Deixar, aquele que tem obrigação, de dar destinação ambientalmente adequada a resíduos (carga abandonada AWB 045 8946 2376 HAWB 4XD0818) quando assim determinar a lei ou ato normativo, conforme laudo de constatação (Relatório de Fiscalização n° xxx).</t>
  </si>
  <si>
    <t>SIEMENS HEALTHCARE DIAGNOSTICOS LTDA</t>
  </si>
  <si>
    <t>62 Decreto 6514; 70 1º Lei 9605; 72 Lei 9605; 3º III Decreto 6514.</t>
  </si>
  <si>
    <t>ZPKUANH5</t>
  </si>
  <si>
    <t>Apresentar informação falsa em sistema oficial de controle ao declarar 58,23 hectares de área como consolidada que foi desmatada após 24/02/2015.</t>
  </si>
  <si>
    <t>Vagner Ciesielski</t>
  </si>
  <si>
    <t>N6HFAK4N</t>
  </si>
  <si>
    <t>Deixar de atender a exigência legal quando devidamente notificado pela autoridade ambiental competente, conforme Notificação 698174/E, visando à regularização do depósito de agrotóxicos da Fazenda Mutuca (Urucuia/MG).</t>
  </si>
  <si>
    <t>KKNWVO81</t>
  </si>
  <si>
    <t>Deixar de manter registro de acervo faunístico e movimentação de plantel em sistemas informatizados de controle de fauna - SisPass.</t>
  </si>
  <si>
    <t>Pirapora</t>
  </si>
  <si>
    <t>MARCELO PERES DA SILVA</t>
  </si>
  <si>
    <t>RUA OURO PRETO 981 BAIRRO SANTO ANTÔNIO</t>
  </si>
  <si>
    <t>31 Decreto 6514/2008.</t>
  </si>
  <si>
    <t>EBTOQ0G7</t>
  </si>
  <si>
    <t>Danificar 431,84 ha de Floresta Amazônica, objeto de especial preservação, através de exploração seletiva, em área federal (Projeto de Assentamento Agroextrativista - PAE CURUÁ II) sem Autorização da autoridade ambiental competente.</t>
  </si>
  <si>
    <t>Elias de Oliveira</t>
  </si>
  <si>
    <t>Fazenda São Pedro, Projeto Agroextrativista - PAE Curuá II.</t>
  </si>
  <si>
    <t>DNXD9U76</t>
  </si>
  <si>
    <t>Danificar 64,65 hectares de floresta amazônica, objeto de especial preservação, através de exploração seletiva, em área federal (Projeto de Assentamento Agroextrativista - PAE Curuá II), sem autorização da autoridade ambiental competente.</t>
  </si>
  <si>
    <t>Jaqueline Dias Fernandes</t>
  </si>
  <si>
    <t>Projeto Agroextrativista Curuá II (INCRA)</t>
  </si>
  <si>
    <t>17LMI1C5</t>
  </si>
  <si>
    <t>Destruir 67,216 hectares de floresta nativa, no período após  04/02/2015 e antes de 29/09/2019, objeto de especial preservação sem autorização da autoridade ambiental competente. Conforme carta imagem anexa, polígono ID 10197.</t>
  </si>
  <si>
    <t>Fazenda Esperança</t>
  </si>
  <si>
    <t>W2JKL8KB</t>
  </si>
  <si>
    <t>Deixar de atender às exigências legais ou regulamentares quando devidamente notificado pela autoridade ambiental competente no prazo concedido, visando a regularização, correção ou adoção de medidas de controle para acessar a degradação ambiental - Não atendimento da notificação contida no ofício nº xxx.</t>
  </si>
  <si>
    <t>Bently do Brasil Ltda</t>
  </si>
  <si>
    <t>Aeroporto de Viracopos</t>
  </si>
  <si>
    <t>5U0HIVRI</t>
  </si>
  <si>
    <t>Abandonar carga AWB 343 4332-7715 contendo produto perigoso (UN 3480 Bateria de Litium, Classe 9: Produtos perigosos diversos) no Aeroporto Internacional de Viracopos São Paulo.</t>
  </si>
  <si>
    <t>KVAQIC4E</t>
  </si>
  <si>
    <t>TRANSPORTAR 39,102 M3 (METROS CÚBICOS) DE MADEIRA SERRADA (RIPAS) DE VARIADAS ESSÊNCIAS FLORESTAL, SEM LICENÇA VÁLIDA PARA TODO O TEMPO DA VIAGEM, OUTORGA PELA AUTORIDADE COMPETENTE.</t>
  </si>
  <si>
    <t>ROD. BR 010, KM 260 - Lagoa Verde - Imperatriz-MA - Posto da Polícia Rodoviária Federal.</t>
  </si>
  <si>
    <t>LW9MLRFQ</t>
  </si>
  <si>
    <t>Deixar de apresentar relatório ambiental previsto no Parágrafo 1° do Artigo 17-C da Lei 6.938/1981 (Política Nacional do Meio Ambiente), fora do prazo estabelecido nessa legislação, referentes aos anos de 2017/2016, 2018/2017, 2019/2018.</t>
  </si>
  <si>
    <t>Madeireira Bougainville - Natália Ferreira Machado Eireli, CNPJ 22.598.465/0001-29</t>
  </si>
  <si>
    <t>T8L6IDH1</t>
  </si>
  <si>
    <t>Abandonar carga AWB 343 4332 7690 contendo produto perigoso (UN 3480 Bateria de Litium, Classe 9: Produtos perigosos diversos) no Aeroporto Internacional de Viracopos São Paulo.</t>
  </si>
  <si>
    <t>E7AOX9DE</t>
  </si>
  <si>
    <t>Destruir (supressão) de 2,91 hectares de fragmentos de vegetação de BIOMA MATA ATLÂNTICA, vegetação secundária em estágio inicial de regeneração, sem autorização da autoridade ambiental competente.</t>
  </si>
  <si>
    <t>Núcleo de Conciliação Ambiental/MS</t>
  </si>
  <si>
    <t>Iguatemi</t>
  </si>
  <si>
    <t>AGOSTINHO ERMOSO MARTINS</t>
  </si>
  <si>
    <t>Fazenda São Roque</t>
  </si>
  <si>
    <t>25, - Lei 11428.</t>
  </si>
  <si>
    <t>1EJJET76</t>
  </si>
  <si>
    <t>Danificar 63,75 hectares de floresta amazônica, objeto de especial preservação, através de exploração seletiva, em área federal (Projeto de Assentamento Agroextrativista - PAE Curuá II), sem autorização da autoridade ambiental competente.</t>
  </si>
  <si>
    <t>WELLISON LEAL MENDES</t>
  </si>
  <si>
    <t>Projeto Agroextrativista Curuá II (INCRA).</t>
  </si>
  <si>
    <t>CE8O0394</t>
  </si>
  <si>
    <t>Apresentar informação falsa / 172,534m3 de madeira serrada / nós sistemas oficiais de controle.</t>
  </si>
  <si>
    <t>Vinícius Bassi Vendramin</t>
  </si>
  <si>
    <t>Sede Cuiabá Madeiras e Compensados Ltda.
Av. Beira Rio, 45, esquina Rua Pacaembu, CEP 78065-000.</t>
  </si>
  <si>
    <t>TEMVPL7R</t>
  </si>
  <si>
    <t>.......................Fazer funcionar estabelecimento potencialmente poluidor e utilizador de recursos naturais, fábrica de gesso, sem licença válida outorgada pela autoridade competente</t>
  </si>
  <si>
    <t>Gesso São Bernardo</t>
  </si>
  <si>
    <t>1JAG95HI</t>
  </si>
  <si>
    <t>Transportar 10,854 m3 de madeira serrada da espécie Cedrela odorata sem exibir a licença outorgada pela autoridade competente.</t>
  </si>
  <si>
    <t>ACI de cargas em Dionísio Cerqueira. Receita Federal do Brasil.</t>
  </si>
  <si>
    <t>PPE EXTREMO</t>
  </si>
  <si>
    <t>60, II Decreto Federal 6514/08.</t>
  </si>
  <si>
    <t>3RGHYCLY</t>
  </si>
  <si>
    <t>Fazer funcionar atividade potencialmente poluidora, Fabricação de gesso, sem a licença ambiental emitida pelo órgão ambiental competente.</t>
  </si>
  <si>
    <t>INDUSTRIA DE GESSO FELIX LTDA ME</t>
  </si>
  <si>
    <t>Gesso São Bento Trindade -PE</t>
  </si>
  <si>
    <t>MZ1Z80O7</t>
  </si>
  <si>
    <t>Fornecer dados inconsistentes no Sispass, Sistema de criação amadorista de passeriformes, referente ao endereço do criatório e nascimentos declarados de passeriformes.</t>
  </si>
  <si>
    <t>FERNANDO DOS SANTOS RIZO</t>
  </si>
  <si>
    <t>Sispass</t>
  </si>
  <si>
    <t>RVN8HKM8</t>
  </si>
  <si>
    <t>Apresentar informação falsa em sistema oficial de informação. Observo que o senhor xxx, declarou a área de 72,793 hectares de floresta nativa no SICAR, como sendo área consolidada, no entanto,  a área foi desmatada após 22/08/2008, conforme ID 268, carta imagem anexa ao Processo do Auto de ficou caracterizado o cometimento de infração ambiental</t>
  </si>
  <si>
    <t>Victor Hugo Stefanello</t>
  </si>
  <si>
    <t>IBAMA SEDE DF</t>
  </si>
  <si>
    <t>MMLTSMO8</t>
  </si>
  <si>
    <t>Deixar, aquele que tem obrigação, de dar destinação ambientalmente adequada a resíduos carga abandonada (AWB 307 3282 2204 HAWB 3VD9025) quando assim determinar a lei ou ato normativo, conforme laudo de constatação (Relatório de Fiscalização n° xxx)</t>
  </si>
  <si>
    <t>RO0JWDIC</t>
  </si>
  <si>
    <t>Apresentar informação falsa em sistema oficial de informação. Observo que o senhor xxx, declarou a área de 72,793 hectares de floresta nativa no SICAR, como sendo área consolidada, no entanto,  a área foi desmatada após 22/08/2008, conforme ID 268, carta imagem anexa ao Processo do Auto de ficou caracterizado o cometimento de infração ambiental.</t>
  </si>
  <si>
    <t>Saul Stefanello Filho</t>
  </si>
  <si>
    <t>Fazenda Dona Conceição</t>
  </si>
  <si>
    <t>T8RSVXHE</t>
  </si>
  <si>
    <t>Deixar, aquele que tem obrigação, de dar destinação ambientalmente adequada a resíduos (carga abandonada AWB 074 1848 6171 HAWB 1GVK024) quando assim determinar a lei ou ato normativo, conforme laudo de constatação (Relatório de Fiscalização n° xxx).</t>
  </si>
  <si>
    <t>8Z9FO9IN</t>
  </si>
  <si>
    <t>Destruir 72,793 hectares de floresta Amazonica nativa,objeto de especial preservação, sem autorização do órgão ambiental competente. Conforme identificado por imagem de satélite ID 268, a floresta nativa foi destruída entre 12/02/2016 e 12/05/2016, segue carta imagem anexa ao Processo do Auto de infração.</t>
  </si>
  <si>
    <t>Dentro da Fazenda em Feliz Natal</t>
  </si>
  <si>
    <t>MI8VDUQZ</t>
  </si>
  <si>
    <t>Deixar, aquele que tem obrigação, de dar destinação ambientalmente adequada a resíduos ( carga abandonada AWB 045 8927 9525 HAWB 4VS0715) quando assim determinar a lei ou ato normativo, conforme laudo de constatação (Relatório de Fiscalização n° xxx).</t>
  </si>
  <si>
    <t>2UTN1EX5</t>
  </si>
  <si>
    <t>Deixar, aquele que tem obrigação, de dar destinação ambientalmente adequada a resíduos (carga abandonada AWB 020 9405 4376 HAWB 0909000942) quando assim determinar a lei ou ato normativo, conforme laudo de constatação (Relatório de Fiscalização xxx).</t>
  </si>
  <si>
    <t>D33KFGAZ</t>
  </si>
  <si>
    <t>IG6WX8T6</t>
  </si>
  <si>
    <t>Deixar de atender a exigências legais ou regulamentares quando devidamente pela autoridade ambiental competente no prazo concedido visando à regularização correção ou adoção de medidas de controle para cessar a degradação ambiental - Não atendimento da Notificação contida no Ofício n° xxx.</t>
  </si>
  <si>
    <t>80 Decreto 6514; 70 1º Lei 9605; 72 Lei 9605; 3º III Decreto 6514.</t>
  </si>
  <si>
    <t>H4XNWEE2</t>
  </si>
  <si>
    <t>Deixar de inscrever-se no Cadastro Técnico Federal do IBAMA (CTF), atividade:
Distribuidora de Combustíveis.</t>
  </si>
  <si>
    <t>Senador Canedo</t>
  </si>
  <si>
    <t>S R BRASIL PETROLEO LTDA</t>
  </si>
  <si>
    <t>B37C4OWF</t>
  </si>
  <si>
    <t>Destruir 70,636 hectares de floresta Amazonica nativa, objeto de especial preservação, sem autorização do órgão ambiental competente. Conforme identificado por imagem de satélite ID 5082, carta imagem anexa ao Processo do Auto de Infração.</t>
  </si>
  <si>
    <t>Girleide Oliveira Portela</t>
  </si>
  <si>
    <t>Lote 10, Gleba M-2, Setor 8</t>
  </si>
  <si>
    <t>AZM6MVWJ</t>
  </si>
  <si>
    <t>Apresentar informação falsa no sistema oficial de controle SISFLORA , sendo 1213,959 metros cúbicos de madeiras, movimentados para a empresa Matos Comércio de Madeiras Eireli ME inexistente de fato.</t>
  </si>
  <si>
    <t>Juara</t>
  </si>
  <si>
    <t>Douglas Martin Paes de Barros ( Fazenda Mandala)</t>
  </si>
  <si>
    <t>Douglas Martins Paes de Barros Fazenda Mandala</t>
  </si>
  <si>
    <t>0DQN006J</t>
  </si>
  <si>
    <t>Adquirir, 93.090 kg de soja em grãos nas datas de 24/05/19 e 04/06/19 , conforme N.fiscais n°s: 1012781 e 1036384 série: 891, produzidos sobre área objeto de Embargos. Termos de Embargos n°s: 7275/C, 7224/C e 817072/E.</t>
  </si>
  <si>
    <t>Amaggi Exportação e Importação LTDA</t>
  </si>
  <si>
    <t>Fazenda Vale Verde, Gleba Marmelo, Vista Alegre do Abunã, Distrito de Porto Velho-RO.</t>
  </si>
  <si>
    <t>54 § único Decreto 6514/2008.</t>
  </si>
  <si>
    <t>91BE27F0</t>
  </si>
  <si>
    <t>Comercializar nas datas de 24/05/19 e 04/06/19 , 93.090 Kg de Soja em grãos conforme Notas Fiscais n°s: 1012781 e 1036384 série: 891, produzidos sobre área objeto de embargo. Termos de Embargos n°s: 7275/C, 7224/C e 817072/E.</t>
  </si>
  <si>
    <t>GUILHERME GALVANE BATISTA</t>
  </si>
  <si>
    <t>Fazenda Vale Verde</t>
  </si>
  <si>
    <t>JDVD9BC9</t>
  </si>
  <si>
    <t>Fazer funcionar atividade potencialmente poluídora, Fabricação de gesso, sem a Licença de Operação do Órgão Ambiental competente.</t>
  </si>
  <si>
    <t>FRANCISCO DE ASSIS MOTA GESSO</t>
  </si>
  <si>
    <t>Francisco Assis Mota Gesso - ME - Gesso Catapora</t>
  </si>
  <si>
    <t>ILH3ZPLT</t>
  </si>
  <si>
    <t>Ter em deposito 07 estereos de lenha de caatingueira, especie nativa da Caatinga, sem Documento de Origem Florestal-DOF</t>
  </si>
  <si>
    <t>GENIVAL DA SILVA LIMA GESSO - ME</t>
  </si>
  <si>
    <t>Empresa GESSO ELIAS - Genival da Silva Lima Gesso, Sitio Sussuarana 01</t>
  </si>
  <si>
    <t>TRANSPORTAR NO VEICULO VOLKSWAGEM, COR VERMELHA, PLACA JZO 6908, 21,103 M3 DE MADEIRAS EM TORAS, DE ESSÊNCIAS DIVERSAS, SEM LICENÇA VALIDA PARA TODO TEMPO DA VIAGEM.</t>
  </si>
  <si>
    <t>DHONI DA SILVA LOPES</t>
  </si>
  <si>
    <t>8R 174 SENTIDO JUINA MT VILHENA-JUINA COORDENADAS GEOGRÁFICAS
11º33'15"S 58'52'20' 'W</t>
  </si>
  <si>
    <t>70 1° 72 II,IV Lei 9605/98; 3 II,IV 47 § 1 Decreto 6514/2008.</t>
  </si>
  <si>
    <t>JGITAS5D</t>
  </si>
  <si>
    <t>Transportar 21,001 M3 de madeira serrada das essências diversas em desacordo com a obtida.</t>
  </si>
  <si>
    <t>São João do Piauí</t>
  </si>
  <si>
    <t>Raul Gomes Feitosa-ME</t>
  </si>
  <si>
    <t>Delegacia de polícia civil, Avenida Cândido do coelho do município de São João do Piauí, CEP 64.760-000</t>
  </si>
  <si>
    <t>WCTZRKTX</t>
  </si>
  <si>
    <t>Apresentar informação falsa em sistema oficial de informação. Observo que o senhor xxx, declarou a área de 78,445 hectares de floresta nativa, no SICAR, como sendo área consolidada, no entanto, á área foi desmatada após 22/07/2008, data limite para ser considerada área consolidada, ficou caracterizado o cometimento de infração ambiental.</t>
  </si>
  <si>
    <t>MARIO CESAR PEREIRA NEVES</t>
  </si>
  <si>
    <t>VYOTIGXT</t>
  </si>
  <si>
    <t>Utilizar produto tóxico nocivo à saúde humana em desacordo com as exigências estabelecidas em lei.</t>
  </si>
  <si>
    <t>MADEIREIRA THOMASI SA</t>
  </si>
  <si>
    <t>Fazenda Valinhos Gleba 2
Grupo Thomasi</t>
  </si>
  <si>
    <t>FAME ISA</t>
  </si>
  <si>
    <t>1WSO1QB8</t>
  </si>
  <si>
    <t>Fazer funcionar atividade potencialmente poluidora (Serraria móvel Induspan), sem licença do órgão ambiental competente.</t>
  </si>
  <si>
    <t>Fazenda São Pedro</t>
  </si>
  <si>
    <t>DKV8KUN7</t>
  </si>
  <si>
    <t>Desmatar a corte raso 17,75 hectares de floresta do bioma cerrado, fora da reserva legal, sem autorização do órgão ambiental competente. ID-2019ECS000000001.</t>
  </si>
  <si>
    <t>São João do Paraíso</t>
  </si>
  <si>
    <t>EDILSON RIBEIRO NUNES</t>
  </si>
  <si>
    <t>Fazenda Veados Zona rural município de São João do Paraíso MA.</t>
  </si>
  <si>
    <t>51 Decreto 6514; 70 1º Lei 9605; 72 Lei 9605; 3º II Decreto 6514.</t>
  </si>
  <si>
    <t>MD59DCX4</t>
  </si>
  <si>
    <t>Mutilar asas de Ara ararauna ao cortar suas penas impossibilitando vôo.</t>
  </si>
  <si>
    <t>LEONARDO ALVES DE MELO</t>
  </si>
  <si>
    <t>quadra 7 conj A lote 02 - Varjão</t>
  </si>
  <si>
    <t>70 § 1 72 Lei 9605/98; 3 II 29 Decreto 6514/2008.</t>
  </si>
  <si>
    <t>1K1KIDOB</t>
  </si>
  <si>
    <t>Abandonar carga AWB n° 543 1875 7617 contendo produto perigoso UN 1219, isopropanol (classe 3: líquido inflamável) (Fluxot 84191) no aeroporto Internacional de Viracopos - São Paulo</t>
  </si>
  <si>
    <t>Caio Augustus da Silva Cavadas</t>
  </si>
  <si>
    <t>64 1º Decreto 6514; 70 1º Lei 9605; 72 Lei 9605; 3º III Decreto 6514.</t>
  </si>
  <si>
    <t>K0CXD1PK</t>
  </si>
  <si>
    <t>Impedir a regeneração natural de 13,81 hectares de floresta ombrófila mista especialmente protegida.</t>
  </si>
  <si>
    <t>Fazenda Valinhos Gleba 2 
Grupo Thomasi</t>
  </si>
  <si>
    <t>T4DOQY0G</t>
  </si>
  <si>
    <t>Desmatar a corte raso 17,75 hectares, floresta do bioma cerrado, fora da reserva legal, sem autorização do órgão ambiental competente. ID 2019ECS000000001</t>
  </si>
  <si>
    <t>Fazenda Veados Zona rural, município de São João do Paraíso/MA.</t>
  </si>
  <si>
    <t>03FDEQX5</t>
  </si>
  <si>
    <t>TRANSPORTAR 0,792 M3 DE MADEIRA NATIVA DO BIOMA MATA ATLÂNTICA, NA FORMA DE LENHA, SEM AUTORIZAÇÃO DE TRANSPORTE VÁLIDA PARA TODO O TEMPO DE VIAGEM (DOF), UTILIZANDO O VEÍCULO VW GOL PLACA KKI-7343 (AL).</t>
  </si>
  <si>
    <t>Rio Largo</t>
  </si>
  <si>
    <t>JOSÉ DANIEL HONORATO DOS SANTOS</t>
  </si>
  <si>
    <t>Mata do Cedro, RPPN do CEDRO</t>
  </si>
  <si>
    <t>43 Decreto 6514; 47 1º Decreto 6514; 70 1º Lei 9605; 72 Lei 9605; 3º II Decreto 6514; 3º IV Decreto 6514.</t>
  </si>
  <si>
    <t>TRANSPORTAR 13,341 M³ DE MADEIRAS EM TORAS, DE ESSENCIAS DIVERSAS,NO VEICULO SCANIA, COR AZUL, PLACA LCD 2044, SEM LICENÇA VALIDA PARA TODO TEMPO DE VIAGEM.</t>
  </si>
  <si>
    <t>ROBERTO RAMOS BERNARDO</t>
  </si>
  <si>
    <t>ESTRADA BR 174 SENTIDO VILHENA JUINA COORDENADAS GEOGRAFICAS 11º33'14''S  58°52'20''W</t>
  </si>
  <si>
    <t>70 1° 72 II,IV Lei 9605/98; 3 II,IV 47 §1 Decreto 6514/2008.</t>
  </si>
  <si>
    <t>WAOTN50W</t>
  </si>
  <si>
    <t>CAIO AUGUSTUS DA SILVA CAVADAS</t>
  </si>
  <si>
    <t>R5BI2BHJ</t>
  </si>
  <si>
    <t>Abandonar carga AWB  543  1875 7617 contendo produto perigoso UN 1219, isopropanol (classe 3: líquido inflamável) (Fluxot 84191) no Aeroporto Internacional de Viracopos - São Paulo.</t>
  </si>
  <si>
    <t>3I40IVBK</t>
  </si>
  <si>
    <t>Danificar 431,84 hectares de floresta amazônica, objeto de especial preservação, através de exploração seletiva, em área federal (Projeto de Assentamento Agroextrativista - PAE Curuá II), sem autorização da autoridade ambiental competente.</t>
  </si>
  <si>
    <t>PENA AGRO-FLORESTAL MADEIREIRA LTDA</t>
  </si>
  <si>
    <t>Projeto Agroextrativista - PAE Curuá II (INCRA)</t>
  </si>
  <si>
    <t>MYAI5REB</t>
  </si>
  <si>
    <t>Ter em deposito 75 (setenta e cinco) St de lenha nativa de essencias florestais diversas, imburana, angico manso, catingueira, canela de velho, para fins industriais de fabricação de gesso, sem DOF documento de Origem Florestal.</t>
  </si>
  <si>
    <t>GESSO TERRA NOBRE EIRELI EPP</t>
  </si>
  <si>
    <t>Gesso Terra Nobre</t>
  </si>
  <si>
    <t>70 § 1 72 II,IV Lei 9605/98; 3º II,IV 47 § 1 Decreto 6514/2008; 31 Caput Instrução Normativa IBAMA 21/2014.</t>
  </si>
  <si>
    <t>31, caput IN-IBAMA 21/2014.</t>
  </si>
  <si>
    <t>30IOPSNP</t>
  </si>
  <si>
    <t>Fazer Funcionar estabelecimento potencialmente poluidor, Fabricaç¿o de Gesso, sem  a licença de Operaç¿o do órgão ambiental competente.</t>
  </si>
  <si>
    <t>IND E COM LAJEIRO GESSO LTDA</t>
  </si>
  <si>
    <t>Gesso Lajeiro</t>
  </si>
  <si>
    <t>WWX9K229</t>
  </si>
  <si>
    <t>Fazer Funcionar atividade potencialmente poluidora e utilizadora de recursos naturais, fabricação de gesso, sem licença válida outorgada pela autoridade competente</t>
  </si>
  <si>
    <t>JOSE ROBERTO RODRIGUES DE AQUINO</t>
  </si>
  <si>
    <t>Empresa Gesso São Jose</t>
  </si>
  <si>
    <t>GOROA8O1</t>
  </si>
  <si>
    <t>Destruir 78,445 hectares de floresta Amazônica  nativa, objeto de especial preservação sem autorização do órgão ambiental competente. A destruição da floresta nativa foi feita entre 08.11.2014 a 12.02.2015, sendo identificada por satélite conforme ID 9321 e carta imagem anexa ao Processo do Auto de Infração.</t>
  </si>
  <si>
    <t>Fazenda São Cristóvão II</t>
  </si>
  <si>
    <t>HLB2VHVR</t>
  </si>
  <si>
    <t>Desmatar 0,71 hectares de floresta nativa em área de reserva legal, do Assentamento Vale do São Raimundo - PA São Raimundo, sem autorização da autoridade ambiental competente.</t>
  </si>
  <si>
    <t>Fabio da Silva Amorim</t>
  </si>
  <si>
    <t>Assentamento Vale do São Raimundo
PA- São Raimundo</t>
  </si>
  <si>
    <t>2BE8YF0C</t>
  </si>
  <si>
    <t>Desmatar 0.71 hectares de floresta nativa em área de reserva legal do assentamento Vale do São Raimundo -  PA São Raimundo, sem autorização da autoridade ambiental competente.</t>
  </si>
  <si>
    <t>Francisco de Assis da Silva Amorim</t>
  </si>
  <si>
    <t>Assentamento Vale do São Raimundo - PA São Raimundo, Zona Rural do município de Porto Franco - MA.</t>
  </si>
  <si>
    <t>GNHNY3Z7</t>
  </si>
  <si>
    <t>Deixar de atender a exigências legais ou regulamentares quando devidamente notificado pela autoridade ambiental competente no prazo concedido, visando à regularização, correção ou adoção de medidas de controle para cessar a degradação ambiental- Não atendimento da Notificação contida no Ofício n° xxx.</t>
  </si>
  <si>
    <t>ICF INSTITUTO DE CIÊNCIAS FARMACEUTICAS DE ESTUDOS E PESQUISAS LTDA</t>
  </si>
  <si>
    <t>0DFTUE4G</t>
  </si>
  <si>
    <t>Deixar, aquele que tem obrigação, de dar destinação ambientalmente adequada a resíduos (carga abandonada AWB 020 9489 9766) quando assim determinar a lei ou ato normativo, conforme laudo de constatação (Relatório de Fiscalização xxx).</t>
  </si>
  <si>
    <t>F5RJSYDP</t>
  </si>
  <si>
    <t>Exercer atividade potencialmente poluidora e utilizadora de recursos naturais,   fabricaç¿o de gesso, sem licença válida outorgada pela autoridade competente</t>
  </si>
  <si>
    <t>G DE OLIVEIRA SOUZA PINTO GESSO</t>
  </si>
  <si>
    <t>EMPRESA GESSO PATRIOTA. PE 630, km 03, Zona Rural de Trindade</t>
  </si>
  <si>
    <t>W8MJ7ZM4</t>
  </si>
  <si>
    <t>Exercer a pesca, na modalidade espinhel, com uso da embarcação NAS MÃOS DE DEUS, Inscrição na Marinha do Brasil n° 341-038290-2, sem Autorização do órgão competente.</t>
  </si>
  <si>
    <t>Anchieta</t>
  </si>
  <si>
    <t>Karine Silva Santos</t>
  </si>
  <si>
    <t>Trapiche da empresa Perdigão e Cia</t>
  </si>
  <si>
    <t>PET ALBATROZ</t>
  </si>
  <si>
    <t>2859K8TQ</t>
  </si>
  <si>
    <t>Desmatar  0,71 hectares de vegetação em área de reserva legal do Assentamento São Raimundo, município de Porto Franco- MA.</t>
  </si>
  <si>
    <t>Vitorino Barros da Silva</t>
  </si>
  <si>
    <t>Assentamento Vale do São Raimundo, Porto Franco -  MA</t>
  </si>
  <si>
    <t>CUCMVEMC</t>
  </si>
  <si>
    <t>Transportar 6,0 st de lenha do bioma Caatinga sem licença válida para todo tempo da viagem outorgada pela autoridade competetente.</t>
  </si>
  <si>
    <t>Paixão de Jesus Fraga</t>
  </si>
  <si>
    <t>Rodovia Estadual Lagarto - Itabaiana, entrada povoado Brasilia</t>
  </si>
  <si>
    <t>58NXQU8H</t>
  </si>
  <si>
    <t>Desmatar 0.69 hectares de floresta do bioma cerrado, do assentamento Vale do São Raimundo - PA São Raimundo, sem autorização da autoridade ambiental competente.</t>
  </si>
  <si>
    <t>Miguel Soares da Silva</t>
  </si>
  <si>
    <t>Assentamento Vale do São Raimundo - PA São Raimundo, zona rural do município de Porto Franco- MA.</t>
  </si>
  <si>
    <t>LZEBCYF3</t>
  </si>
  <si>
    <t>Desmatar 0.56 hectares de floresta nativa em área de reserva legal do Bioma Cerrado na área do assentamento Vale do São Raimundo - PA São Raimundo, sem autorização da autoridade ambiental competente.</t>
  </si>
  <si>
    <t>Josimar Maria da Conceição</t>
  </si>
  <si>
    <t>51W58TNF</t>
  </si>
  <si>
    <t>Desmatar 0.16 hectares de floresta nativa em área de reserva legal do assentamento Vale do São Raimundo - PA São Raimundo, sem autorização da autoridade ambiental competente.</t>
  </si>
  <si>
    <t>Edson Moreira da Silva</t>
  </si>
  <si>
    <t>Assentamento Vale do São Raimundo - PA São Raimundo, Zona Rural</t>
  </si>
  <si>
    <t>9MOWDVBV</t>
  </si>
  <si>
    <t>Desmatar 0.69 hectares de floresta nativa em área de reserva legal do assentamento Vale do São  Raimundo - PA São Raimundo, sem autorização da autoridade ambiental competente.</t>
  </si>
  <si>
    <t>Antonio José Pereira dos Santos</t>
  </si>
  <si>
    <t>Assentamento Vale do São Raimundo - PA São Raimundo.</t>
  </si>
  <si>
    <t>O8B34197</t>
  </si>
  <si>
    <t>Apresentar informação falsa nos sistemas oficiais de controle Sisflora , sendo 1217,2148 metros cúbicos de madeiras, movimentados para a empresa Matos Comércio de Madeiras Eireli ME inexistente de fato.</t>
  </si>
  <si>
    <t>RONDINI E CIA LTDA - ME</t>
  </si>
  <si>
    <t>Rondini e CIA Ltda ME</t>
  </si>
  <si>
    <t>M1WMOLL2</t>
  </si>
  <si>
    <t>Fazer funcionar atividade potencialmente poluidora (serraria movel - Induspan) sem licença do órgão ambiental competente.</t>
  </si>
  <si>
    <t>Pena Florestal e Madeireira Ltda.</t>
  </si>
  <si>
    <t>Projeto Agroextrativista - PAE Curuá II (INCRA).</t>
  </si>
  <si>
    <t>2, 1 Resolução CONAMA 237/1997.</t>
  </si>
  <si>
    <t>EJ3P8GSS</t>
  </si>
  <si>
    <t>TER EM DEPÓSITO, PARA FINS INDUSTRIAIS (FABRICAÇÃO DE GESSO), 15 (QUINZE) ESTÉREOS DE LENHA NATIVA DE ESSÊNCIAS FLORESTAIS DIVERSAS (MARMELEIRO, ANGICO, JUREMA, UMBURANA) SEM DOCUMENTO DE ORIGEM FLORESTAIS - DOF.</t>
  </si>
  <si>
    <t>FAZENDA CARAIBAS, SETOR INDUSTRIAL DE OURICURI-PE</t>
  </si>
  <si>
    <t>K4Q78S24</t>
  </si>
  <si>
    <t>Transportar 44 M3 de madeira serrada de essências diversas, sem licença válida para todo tempo da viagem outorgada pela autoridade competente.</t>
  </si>
  <si>
    <t>Márcio Rodrigues dos Santos</t>
  </si>
  <si>
    <t>Posto da PRF em Picos Piauí, BR.316- KM-194.</t>
  </si>
  <si>
    <t>XK6QV2Q1</t>
  </si>
  <si>
    <t>Receber 16,0445 metros cúbicos de madeira serrada sem licença válida. A madeira teve o transporte guiado por Documento de Origem Florestal inválido, uma vez que a GF3i/PA 7290 8290 8724 2875 indica que a madeira teria como destino a empresa José Milton Marçal Eireli - CNPJ: 18.550.569/0001-96 de Anápolis/GO.</t>
  </si>
  <si>
    <t>São Francisco de Goiás</t>
  </si>
  <si>
    <t>J R P MADEIRAS LTDA</t>
  </si>
  <si>
    <t>JRP Madeiras</t>
  </si>
  <si>
    <t>R2MV87F2</t>
  </si>
  <si>
    <t>Ter em depósito 64,5306 estereos de madeira de cerca de origem nativa do bioma Amazônia sem licença válida para todo o tempo de armazenamento (não possui Documento de Origem Florestal). Depósito de 2565 estacas e 38 mancos de Acapu (Vouacapoua americana) na Fazenda Água Limpa, zona rural de Mundo Novo/GO.</t>
  </si>
  <si>
    <t>Mundo Novo</t>
  </si>
  <si>
    <t>Diniz Lemos Quirino</t>
  </si>
  <si>
    <t>Fazenda Água Limpa</t>
  </si>
  <si>
    <t>Y9PVNLJ7</t>
  </si>
  <si>
    <t>Transportar 44 M3 de madeira serrada de essências diversas, sem licença válida para todo tempo da viagem, outorgada pela autoridade competente.</t>
  </si>
  <si>
    <t>Marcio Rodrigues dos Santos</t>
  </si>
  <si>
    <t>Posto da PRF em Picos Piauí, KM 194- BR.316.</t>
  </si>
  <si>
    <t>57LEHC9Y</t>
  </si>
  <si>
    <t>'''''''''''''''''''''''''''''''''Manter em cativeiro pássaros da fauna silvestre Brasileira, em desacordo com a licença obtida no Ibama, no total de 07 (sete) pássaros, sendo: 05 trinca-ferros anilhas IBAMA 04/05 3,5 075400, SISPASS 3.5 RJ/A 015339, IBAMA OA 3,5 293917, (esta anilha falsa) IBAMA 04/05 3,5 097563, IBAMA OA 3,5 142476; 01 coleiro papa-calim anilha SISPASS 2.2 RJ/A 014259 e 01 coleiro baiano anilha SISPASS 2.2 RJ/A 035743.</t>
  </si>
  <si>
    <t>ALESSANDRA DA SILVA PEDRO</t>
  </si>
  <si>
    <t>Rua Aliança Para o Progresso, 45, 2º andar, Bela Vista, Itaocara, RJ/ Antônio Gomes Ribeiro, s/n.</t>
  </si>
  <si>
    <t>3 Inc. 2,4,7,9 Decreto 6514/2008; 70 § 1 Lei 9605/98; 72 Lei 9605/98.</t>
  </si>
  <si>
    <t>RL2V3Q7P</t>
  </si>
  <si>
    <t>Desmatar 444,61 hectares de floresta Amazônica nativa, objeto de especial preservação em área de reserva legal, sem autorização do órgão ambiental competente, conforme carta imagem anexa ao Processo do presente Auto de Infração.</t>
  </si>
  <si>
    <t>JOSÉ RAIMUNDO DE CARVALHO</t>
  </si>
  <si>
    <t>IBAMA/SEDE-DF</t>
  </si>
  <si>
    <t>J1YHC4K5</t>
  </si>
  <si>
    <t>Apresentar informação falsa no sistema oficial de controle DOF, referente ao procedimento administrativo de recebimento de 07 (sete) documentos de origem florestal ideologicamente falsos (resíduo para aproveitamento industrial, ano 2016).</t>
  </si>
  <si>
    <t>A.F. DANTAS &amp; CIA LTDA</t>
  </si>
  <si>
    <t>Rua Santo Inácio,   13 -  Bairro Bom -  Picos/ PI.</t>
  </si>
  <si>
    <t>352L2814</t>
  </si>
  <si>
    <t>Deixar de apresentar declaração de estoque conforme determina a IN Ibama 193/2008.
Sendo:
Pati-2kg
Piava-61kg
Armado-1,4kg
Lambari-3kg
Jundiá-5,9kg
Mandi-37,7Kg</t>
  </si>
  <si>
    <t>Manoel Viana</t>
  </si>
  <si>
    <t>ANTONIO MEDEIROS</t>
  </si>
  <si>
    <t>Rua da Praia, 275Bairro Restinga</t>
  </si>
  <si>
    <t>DEF RIOS FEDERAIS II</t>
  </si>
  <si>
    <t>35 Inc. 6 Decreto 6514/2008.</t>
  </si>
  <si>
    <t>B24X7ROP</t>
  </si>
  <si>
    <t>Deixar de apresentar a DECLARAÇÃO DE ESTOQUE, referente, de 291 kg de pescados no período da Piracema.</t>
  </si>
  <si>
    <t>PRADELLA &amp; PANDOLFI LTDA</t>
  </si>
  <si>
    <t>Rua Bento Manoel , 189. Centro. Alegrete. CEP 97543070. Alegrete. CASA DO FRANGO</t>
  </si>
  <si>
    <t>5RATP9JP</t>
  </si>
  <si>
    <t>Destruir 98,23 Há de vegetação nativa, Floresta Amazônica na Área de Proteção Ambiental Triunfo do Xingu, objeto de especial preservação, sem licença da autoridade ambiental competente.</t>
  </si>
  <si>
    <t>Maurizio Coelho de Brito</t>
  </si>
  <si>
    <t>HMEZPHRD</t>
  </si>
  <si>
    <t>Por utilizar 35 (trinta e cinco) espécimes de aves silvestres da fauna nativa sendo 31 Saltator similis, dois  Ramphocelus bresilius e dois Sicalis flaveola brasiliensis, ao manter em cativeiro três aves não constantes de seu plantel, de anilhas sispass 3,5 MGA 140036, 140037 e 140038, sem os devidos termos de transferência. Além de não ter prestado contas do óbito de dois Trinca-ferro, anilhas Sispass 3,5 MGA 097638 e 120556.</t>
  </si>
  <si>
    <t>Caratinga</t>
  </si>
  <si>
    <t>Claudionor Pereira Ramos</t>
  </si>
  <si>
    <t>Rua Francisco Vitor de Assis, 497, Vale do Sol.</t>
  </si>
  <si>
    <t>MBA SISPASS</t>
  </si>
  <si>
    <t>24 I Decreto 6514; 70 1º Lei 9605; 72 Lei 9605; 3º II Decreto 6514; 3º IV Decreto 6514.</t>
  </si>
  <si>
    <t>GVIBQKWA</t>
  </si>
  <si>
    <t>Dificultar a regeneração natural de 1.144,13 Ha de vegetação nativa, embargada através do Termo de Embargo nº 490448-C, através da execução de atividade pecuária na área.</t>
  </si>
  <si>
    <t>JOÃO FRANCO DA SILVEIRA BUENO</t>
  </si>
  <si>
    <t>Fazenda Porto Rico</t>
  </si>
  <si>
    <t>48 § 1 Decreto 6514/2008.</t>
  </si>
  <si>
    <t>WG8DNJUN</t>
  </si>
  <si>
    <t>Descumprir embargo de uma área de 1.144,13 Ha embargada através do Termo de Embargo nº 490448-C, exercendo a atividade de pecuária na mesma.</t>
  </si>
  <si>
    <t>OYMMTC82</t>
  </si>
  <si>
    <t>Deixar de atender a exigências legais ou regulamentares quando devidamente pela autoridade ambiental competente no prazo concedido, visando à regularização correção ou adoção de medidas de controle para cessar a degradação ambiental - Não atendimento da Notificação contida no Ofício n° xxx.</t>
  </si>
  <si>
    <t>FUNDEP - FUNDACAO DE DESENVOLVIMENTO E PESQUISA</t>
  </si>
  <si>
    <t>P34VPNAO</t>
  </si>
  <si>
    <t>Deixar, aquele que tem obrigação, de dar destinação ambientalmente adequada a resíduos (carga abandonada AWB 023 6331 1382 HAWB 60785559089) quando assim determinar a lei ou ato normativo, conforme laudo de constatação (Relatório de Fiscalização n° xxx).</t>
  </si>
  <si>
    <t>H9A3HD7M</t>
  </si>
  <si>
    <t>TRANSPORTAR 28,274 M3 (METROS CÚBICOS) DE MADEIRA SERRADA DE ESSÊNCIAS FLORESTAL DIVERSAS, SEM LICENÇA VÁLIDA PARA TODO O TEMPO DA VIAGEM, OUTORGADA PELA AUTORIDADE COMPETENTE.</t>
  </si>
  <si>
    <t>JOSÉ LEUCIO DORNELAS BATISTA</t>
  </si>
  <si>
    <t>Rodovia BR 010, Km 260 - Lagoa Verde - Imperatriz - MA - Posto da Polícia Rodoviária Federal.</t>
  </si>
  <si>
    <t>RL599E0B</t>
  </si>
  <si>
    <t>Por utilizar 39 espécimes da fauna silvestre em desacordo com a licença obtida, sendo 06 espécimes de espécie constante de lista oficial de fauna ameaçada de extinção e 01 híbrido.</t>
  </si>
  <si>
    <t>JOSE AUGUSTO CAETANO</t>
  </si>
  <si>
    <t>José Augusto Caetano</t>
  </si>
  <si>
    <t>OGM QUIMERA II</t>
  </si>
  <si>
    <t>24 3º I Decreto 6514; 24 3º II Decreto 6514; 24 6º I Decreto 6514; 24 6º II Decreto 6514; 24 7º I Decreto 6514; 24 7º II Decreto 6514; 70 1º Lei 9605; 72 Lei 9605; 3º II Decreto 6514; 3º IV Decreto 6514.</t>
  </si>
  <si>
    <t>O853KO7T</t>
  </si>
  <si>
    <t>Comercializar 425 cabeças de gado, produzido sobre área objeto de Embargo nº 490448-C.</t>
  </si>
  <si>
    <t>Gilmar Antônio Rogério de Souza</t>
  </si>
  <si>
    <t>54 Decreto 6514; 70 1º Lei 9605; 72 Lei 9605; 3º II Decreto 6514.</t>
  </si>
  <si>
    <t>O4BNXIRO</t>
  </si>
  <si>
    <t>Dificultar a regeneração natural de 1.144,13 Ha, de vegetação nativa, embargados através do Termo de Embargo nº 490448-C, através da execução de atividade pecuária na área.</t>
  </si>
  <si>
    <t>VO5OX8XQ</t>
  </si>
  <si>
    <t>Descumprir embargo de uma área de 1.144,13 HA embargada através do Termo de Embargo nº 490448-C, exercendo a atividade de pecuária na mesma.</t>
  </si>
  <si>
    <t>ETPXT94B</t>
  </si>
  <si>
    <t>Desmatar a corte raso 140,35 ha de vegetação nativa (cerrado), na fazenda Santa Cruz - Estreito - MA, sem autorização da autoridade competente.</t>
  </si>
  <si>
    <t>ROBERTO HONORIO DE MELO</t>
  </si>
  <si>
    <t>Fazenda Santa Cruz, zona rural do município de Estreito.</t>
  </si>
  <si>
    <t>99R6F51L</t>
  </si>
  <si>
    <t>Por utilizar 08 espécimes da fauna silvestre nativos em desacordo com a licença obtida, sendo 02 espécimes de espécie constante de lista oficial de fauna ameaçada de extinção.</t>
  </si>
  <si>
    <t>ODIER RIBEIRO DA ROCHA</t>
  </si>
  <si>
    <t>Casa do Sr. Odiel</t>
  </si>
  <si>
    <t>24 6º I Decreto 6514; 24 6º II Decreto 6514; 24 7º I Decreto 6514; 24 7º II Decreto 6514; 70 1º Lei 9605; 72 Lei 9605; 3º II Decreto 6514; 3º IV Decreto 6514.</t>
  </si>
  <si>
    <t>IAX2FO6X</t>
  </si>
  <si>
    <t>Ter em depósito 11 (onze) espécimes de dourado (Salminus brasiliensis), constante em Lista Oficial de espécie ameaçada de extinção.</t>
  </si>
  <si>
    <t>Rua da praia, 275 zona urbana</t>
  </si>
  <si>
    <t>70 1° 72 II,IV Lei 9605/98; 3º II,IV 24 Inc. 2,3 Decreto 6514/2008.</t>
  </si>
  <si>
    <t>T4XDLZIV</t>
  </si>
  <si>
    <t>Deixar de apresentar declaração de estoque de 73 kg de pescado conforme artigo 10 da Instrução Normativa 193/2008</t>
  </si>
  <si>
    <t>AMILTON MAINARD ALTEZOR COSTA</t>
  </si>
  <si>
    <t>Rua Ascânio Rubino 974 Bairro Saladeiro</t>
  </si>
  <si>
    <t>KFBFTWZ4</t>
  </si>
  <si>
    <t>TRANSPORTAR 39,262 M3 (METROS CÚBICOS) DE MADEIRA SERRADA DE ESSÊNCIAS FLORESTAL DIVERSAS, SEM LICENÇA VÁLIDA PARA TODO O TEMPO DA VIAGEM, OUTORGADA PELA AUTORIDADE COMPETENTE.</t>
  </si>
  <si>
    <t>J S LIMA DE GOIS E CIA LTDA</t>
  </si>
  <si>
    <t>Rodovia BR 010, km 260 - Lagoa Verde - Imperatriz - MA</t>
  </si>
  <si>
    <t>WL7QFFU0</t>
  </si>
  <si>
    <t>Transportar 25,92 estéreos de mourões da espécie nativa angico-vermelho (Anadenanthera macrocarpa), no veículo placa JQL-6632, sem licença válida para todo o tempo da viagem, conforme Boletim de Ocorrência xxx e Laudo de Constatação xxx.</t>
  </si>
  <si>
    <t>Jequitaí</t>
  </si>
  <si>
    <t>Nerivaldo Gomes da Silva</t>
  </si>
  <si>
    <t>Rodovia BR-365, km 61,5 - município de Jequitaí/MG.</t>
  </si>
  <si>
    <t>VBS11628</t>
  </si>
  <si>
    <t>Permitir a condução de veículo automotor em desacordo com os limites e exigências ambientais previstos na legislação  (utilização do produto Arla 32 fora dos padrões técnicos, no caminhão Scania ano 2013, cor vermelha, placa MKR-1905)</t>
  </si>
  <si>
    <t>Ourinhos</t>
  </si>
  <si>
    <t>Transportes Talau Ltda.</t>
  </si>
  <si>
    <t>Rodovia BR 153, KM 345</t>
  </si>
  <si>
    <t>ARL NOX FUMACA III</t>
  </si>
  <si>
    <t>Z2QCCEL7</t>
  </si>
  <si>
    <t>Destruir 46,88ha de floresta objeto de especial preservação dentro da Terra Indígena Trincheira Bacajá, não passível de autorização para exploração ou supressão.</t>
  </si>
  <si>
    <t>Passarelo Carvalho Negreiros</t>
  </si>
  <si>
    <t>Terra Indígena Trincheira Bacaja
São Félix do Xingu</t>
  </si>
  <si>
    <t>FAME OURICO</t>
  </si>
  <si>
    <t>G9VI4NMF</t>
  </si>
  <si>
    <t>Transportar espécies da fauna silvestre sem autorização da autoridade ambiental competente, sendo 02 pacas, 01 tatu e 01 capivara abatidos.</t>
  </si>
  <si>
    <t>Elton Souza do Nascimento</t>
  </si>
  <si>
    <t>Rio Amazonas</t>
  </si>
  <si>
    <t>6D1FQJZZ</t>
  </si>
  <si>
    <t>Transportar 41,7312 m³ de madeira serrada sem licença ambiental outorgada pela autoridade competente.</t>
  </si>
  <si>
    <t>LUIZ ANTONIO LIMA DIAS</t>
  </si>
  <si>
    <t>Sede da Supes/Ibama/Teresina/PI</t>
  </si>
  <si>
    <t>QST8ZG2L</t>
  </si>
  <si>
    <t>Destruir 15,59ha, de floresta nativa sem autorização do órgão ambiental competente, sendo 2,55ha no ID2016TFP0170, de coordenadas geográficas S 08°07'19'' W 70°13'47'' e 2,37ha, no ID2017TFP0170 de coordenadas geográficas S 08°07'12'' W 70°13'52 e 2,12ha no ID2018TFP0170 de coordenadas geográficas S 08°07'17'' W 70°13'47'' e 8,54ha no ID2019TFP0170 de coordenadas geográficas S 08°07'12'' W 70°13'42'', os vértices do polígono encontra-se Inseridos no mapa com análise temporal de imagem anexo.</t>
  </si>
  <si>
    <t>Josafa Nascimento de Souza</t>
  </si>
  <si>
    <t>Rua Guilherme do Barroso Braga, Cidade Nova.
Ramal do Eber, km 13.</t>
  </si>
  <si>
    <t>2Q1B3XHQ</t>
  </si>
  <si>
    <t>Desmatar 280,71ha, a corte raso floresta nativa sem autorização da autoridade competente, sendo 26,13ha, no ID2016TFP178, coordenadas geográficas S 08°36'38'' W 70°13'59'' e 17,12ha no ID2016TFP0178, de coordenadas geográficas S 08°35'46'' W 70°13'13'', e 12,06ha, no ID2017TFP0179, de coordenadas geográficas S 08°35'42'' W 70°13'20'', e 25,58ha, no ID2018TFP0180, de coordenadas geográficas S 08°36'53'' W 70°13'41'', e 54,77ha no ID2018TFP0180 de coordenadas geográficas S 08°35'39'' W 70°13'15'', e 11,29ha, no ID2018TFP0180 de coordenadas geográficas S 08°36'38'' W 70°13'22'', e 23,70ha, no ID2018TFP0180 de coordenadas geográficas S 08°36'16'' W 70°13'25'', e 85,93ha no ID2019TFP0181, de coordenadas geográficas S 08°36'15'' W 70°13'37'' e 24,10ha, no ID2019TFP0181 de coordenadas geográficas S 08°36'55'' W 70°13'26'', os vértices do polígono encontra-se Inseridos no mapa com análise temporal de imagem anexo.</t>
  </si>
  <si>
    <t>Claudomiro Pluma Cahú</t>
  </si>
  <si>
    <t>Colônia Alto Bonito, lado esquerdo da BR 364 km 45, Manoel Urbano/Feijó , Ramal do Fenelon.</t>
  </si>
  <si>
    <t>V6M6T58K</t>
  </si>
  <si>
    <t>Abandonar carga (AWB 726 2324 2280) contendo produto perigoso (ID8000 (Perfume), classe 9: Substâncias perigosas diversas.) no Aeroporto Internacional de Viracopos-SP</t>
  </si>
  <si>
    <t>David Zarzar de Souza</t>
  </si>
  <si>
    <t>IO6LCRVG</t>
  </si>
  <si>
    <t>Destruir 13,94ha, de floresta nativa sem autorização prévia do órgão ambiental competente, no polígono de ID2019TFP0155, de coordenadas geográficas S 08°12'35'' W 70°21'42'', os vértices do polígono encontra-se Inseridos no mapa com análise temporal de imagem anexo.</t>
  </si>
  <si>
    <t>Terezinha Alves de Lima</t>
  </si>
  <si>
    <t>Colônia Viola, lado direito BR 364 km 1 Feijó/Manoel Urbano, Ramal 7 de Setembro, 1243. km 2.</t>
  </si>
  <si>
    <t>VAPV4WFH</t>
  </si>
  <si>
    <t>Utilizar 14 espécimes da fauna silvestre nativa em desacordo com a autorização obtida, sendo 05 (04 curiós e 01 bicudo) destas constantes em listas oficiais de espécies ameaçadas de extinção.</t>
  </si>
  <si>
    <t>Divino Maria Ferreira</t>
  </si>
  <si>
    <t>Rua Demócrito França 197</t>
  </si>
  <si>
    <t>24 I Decreto 6514; 24 II Decreto 6514; 70 1º Lei 9605; 72 Lei 9605; 3º II Decreto 6514; 3º IV Decreto 6514.</t>
  </si>
  <si>
    <t>0RFSET33</t>
  </si>
  <si>
    <t>Destruir 41,22 hectares de floresta nativa do bioma Mata Atlântica, objetivo de especial preservação, sem autorização da autoridade ambiental competente.</t>
  </si>
  <si>
    <t>General Carneiro</t>
  </si>
  <si>
    <t>BRUNA CRISTINA DACHERY</t>
  </si>
  <si>
    <t>Imóvel Rural, Fazenda Alto Alegre.</t>
  </si>
  <si>
    <t>BS82BZ93</t>
  </si>
  <si>
    <t>Utilizar 12 espécimes da fauna silvestre nativos em desacordo com a licença obtida.</t>
  </si>
  <si>
    <t>GASPAR BASILIO DE MAGALHAES</t>
  </si>
  <si>
    <t>Residência do Sr. Gaspar</t>
  </si>
  <si>
    <t>KABDTFRJ</t>
  </si>
  <si>
    <t>Destruir 10,35ha, de floresta nativa sem autorização prévia do órgão ambiental competente. No polígono de ID2018TFP0154, de coordenadas geográficas S 08°18'35'' W 70°22'22'', os vértices do polígono encontra-se Inseridos no mapa com análise temporal de imagem anexo.</t>
  </si>
  <si>
    <t>Lucenilda Silva de Lima</t>
  </si>
  <si>
    <t>Colônia Boa Sorte, P.A Envira, lado direito do Ramal Maravilha km 9.</t>
  </si>
  <si>
    <t>K9LJ2DHR</t>
  </si>
  <si>
    <t>Fazer funcionar atividade potencialmente poluidora, porto de apoio (embarque), sem licença do órgão ambiental competente.</t>
  </si>
  <si>
    <t>ASSOCIAÇÃO DA COMUNIDADE DE VILA NOVA - ASMOCOVIN</t>
  </si>
  <si>
    <t>Fazenda PEAX Vila Nova, zona rural, Gleba Vila Nova.</t>
  </si>
  <si>
    <t>1KR69T0P</t>
  </si>
  <si>
    <t>Desmatar a corte raso 295,08 hectares com uso de fogo, floresta do Bioma Cerrado, fora da reserva legal, sem autorização da autoridade ambiental competente. ID 2018DCD000006140</t>
  </si>
  <si>
    <t>Carlos Nei Rigo</t>
  </si>
  <si>
    <t>Fazenda Rio Flores, zona rural do município de Estreito-Ma.</t>
  </si>
  <si>
    <t>4ZNBHXT2</t>
  </si>
  <si>
    <t>Deixar, aquele que tem obrigação, de dar destinação ambientalmente adequada a resíduos (carga abandonada MAWB 023 6343 1712 HAWB 55995484190) quando assim determinar a lei ou ato normativo, conforme laudo de constatação (Relatório de Fiscalização xxx).</t>
  </si>
  <si>
    <t>NL Comércio e Importação de Joias.</t>
  </si>
  <si>
    <t>SJUYJWXY</t>
  </si>
  <si>
    <t>Destruir 10,0ha, de floresta nativa sem autorização prévia do órgão ambiental competente. No polígono de ID2019AWS000020812B, de coordenadas geográficas S 08°41'48'' W 69°36'42'', os vértices do polígono encontra-se Inseridos no mapa com análise temporal de imagem anexo.</t>
  </si>
  <si>
    <t>Valdeci Toro Martinelli</t>
  </si>
  <si>
    <t>Colônia Cristo Rei, Lado esquerdo da Br364 km 44, Manoel Urbano/ Feijó.</t>
  </si>
  <si>
    <t>2XCOFYKB</t>
  </si>
  <si>
    <t>Desmatar a corte raso 85.76 hectares de floresta do Bioma Cerrado, fora da reserva legal, sem autorização da autoridade ambiental competente. ID 2019DCD000004663.</t>
  </si>
  <si>
    <t>Antonio Carvalho de Araújo</t>
  </si>
  <si>
    <t>Setor Cabeceira das Tropas - Nossa Senhora de Aparecida. Zona Rural do município Estreito-Ma.</t>
  </si>
  <si>
    <t>ALSOS3K1</t>
  </si>
  <si>
    <t>Transportar produto perigoso (ONU 3082, Classe de Risco 90) nos veículos trator Volvo placa FIG-2876 e reboque placa EOA-6769 cujo condutor, Orlando Nonato Queiroz, CPF xxx, não estava devidamente habilitado (sem curso MOPP/CETPP).</t>
  </si>
  <si>
    <t>Alto Garças</t>
  </si>
  <si>
    <t>COMANDO LOG E TRANSPORTES LTDA</t>
  </si>
  <si>
    <t>Posto PRF, rodovia BR-364, município de Alto Garças</t>
  </si>
  <si>
    <t>ARL NOX II</t>
  </si>
  <si>
    <t>11YXUFSF</t>
  </si>
  <si>
    <t>Destruir 20,30ha, de floresta nativa sem autorização prévia do órgão ambiental competente, no polígono de ID2019TFP0130, de coordenadas geográficas S 08°50'55'' W 69°19'43'', os vértices do polígono encontra-se Inseridos no mapa com análise temporal de imagem anexo.</t>
  </si>
  <si>
    <t>Uirson Pedro da Silva</t>
  </si>
  <si>
    <t>Lado esquerdo após rotatória de Manoel Urbano, Ramal da conquista km 1.</t>
  </si>
  <si>
    <t>8O89YCNC</t>
  </si>
  <si>
    <t>Apresentar informação falsa relacionada ao PMFS - AUTEF xxx no sistema oficial de ontrole (Sisflora).</t>
  </si>
  <si>
    <t>GPFNJF6K</t>
  </si>
  <si>
    <t>______________________ Por executar lavra ou extração de minerais (cascalho) sem a competente autorização, permissão, concessão ou licença da autoridade ambiental, em área no interior da Fazenda Universo, de sua propriedade.</t>
  </si>
  <si>
    <t>Guarantã do Norte</t>
  </si>
  <si>
    <t>JAIR TAVARES</t>
  </si>
  <si>
    <t>Fazenda Universo, comunidade Vale do XV, estrada linha Vale do XV, zona rural de Guarantã do Norte/MT.</t>
  </si>
  <si>
    <t>BUKX3OBC</t>
  </si>
  <si>
    <t>Destruir 22,25ha, de floresta nativa sem autorização prévia do órgão ambiental competente. No polígono de ID2019TFP0128, de coordenadas geográficas S 08°50'26'' W 69°20'56'', os vértices do polígono encontra-se Inseridos no mapa com análise temporal de imagem anexo.</t>
  </si>
  <si>
    <t>Francinelson Bento da Silva</t>
  </si>
  <si>
    <t>Colônia Vista Alegre, Lado esquerdo da BR 364 km 11, lado esquerdo do Ramal Bom Jardim km 1.</t>
  </si>
  <si>
    <t>L0PYQ4DP</t>
  </si>
  <si>
    <t>Destruir 24,32 ha, de floresta nativa sem autorização do órgão ambiental competente, sendo que 9,26 ha no ID2018TFP0105, de coordenadas geográficas, S 08°46'39'' W 69°17'06'' e 15,06 ha no ID2019TFP0105A, de coordenadas geográficas S 08°46'40'' W 69°17'03'', os vértice do polígono encontra-se Inseridos no mapa com análise temporal de imagem anexo.</t>
  </si>
  <si>
    <t>Denilson Maderi Merlo</t>
  </si>
  <si>
    <t>Colônia Boa União, P.A. Nazaré, Ramal Esperança de Deus, Lote 66,  Zona Rural , Manoel Urbano.</t>
  </si>
  <si>
    <t>1J03E5C1</t>
  </si>
  <si>
    <t>NL Comércio e Importação de Joias LTDA</t>
  </si>
  <si>
    <t>NMUI1HQR</t>
  </si>
  <si>
    <t>Permitir a condução de veículo automotor em desacordo com os limites e exigências previstos na legislação (caminhão Scania, ano 2019, Placa QAO 9575).</t>
  </si>
  <si>
    <t>Andradina</t>
  </si>
  <si>
    <t>Impacto Transportes Ltda</t>
  </si>
  <si>
    <t>Rodovia SP 300, Km 361</t>
  </si>
  <si>
    <t>RGMGQSR0</t>
  </si>
  <si>
    <t>Utilizar 72 espécimes da fauna silvestre nativos em desacordo com a licença obtida.</t>
  </si>
  <si>
    <t>ALENCAR XAVIER FERREIRA</t>
  </si>
  <si>
    <t>Casa de Alencar Xavier Ferreira 2</t>
  </si>
  <si>
    <t>24 6º I Decreto 6514; 70 1º Lei 9605; 72 Lei 9605; 3º II Decreto 6514.</t>
  </si>
  <si>
    <t>YDVT8WLG</t>
  </si>
  <si>
    <t>Permitir a condução de veículo automotor em desacordo com os limites e exigências previstos na legislação (uso do Produto ARLA fora dos padrões técnicos - M. Benz, ano 2019, Placa ERC 8057).</t>
  </si>
  <si>
    <t>RBV LOG Eireli</t>
  </si>
  <si>
    <t>Rodovia SP 300, Km 631</t>
  </si>
  <si>
    <t>ETLGIXHC</t>
  </si>
  <si>
    <t>Praticar maus tratos em 08 passeriformes da fauna silvestre nativa brasileira.</t>
  </si>
  <si>
    <t>Casa de Alencar Xavier Ferreira</t>
  </si>
  <si>
    <t>0KKRAQZZ</t>
  </si>
  <si>
    <t>Desmatar a corte raso 54,62ha de vegetação nativa típica do cerrado, nas Fazendas Aconcagua, Olho D'agua e Primavera, localizadas no município de Lajeado Novo, sem autorização da autoridade competente.</t>
  </si>
  <si>
    <t>Lajeado Novo</t>
  </si>
  <si>
    <t>ALBERTO NÉLIO BANDEIRA BARROS</t>
  </si>
  <si>
    <t>Fazendas Aconcagua, Olho D'água e Primavera, zona rural de Lajeado Novo-Ma</t>
  </si>
  <si>
    <t>GZZD6UPW</t>
  </si>
  <si>
    <t>Transportar 5,42 mdc de carvão vegetal, sem licença válida  (DOF) para todo o tempo da viagem, outorgada pela autoridade competente.</t>
  </si>
  <si>
    <t>Edinaldo Amorim de Oliveira</t>
  </si>
  <si>
    <t>BR 174 km 254.0 município de Caracaraí</t>
  </si>
  <si>
    <t>RMYNU8O8</t>
  </si>
  <si>
    <t>Desmatar 475,922ha de cerrado na Fazenda Aruanã sem autorização do órgão ambiental competente.</t>
  </si>
  <si>
    <t>ALZIMAR SOBREIRA VILLELA</t>
  </si>
  <si>
    <t>Fazenda Aruanã</t>
  </si>
  <si>
    <t>EMB CONTROLE REMOTO</t>
  </si>
  <si>
    <t>NPAW64LA</t>
  </si>
  <si>
    <t>Pedro Bento Bezerra Júnior</t>
  </si>
  <si>
    <t>4636505V</t>
  </si>
  <si>
    <t>Comercializar espécies ornamentais (35 espécimes de Panaqolus claustellifer - L306), sem autorização do órgão competente.</t>
  </si>
  <si>
    <t>H&amp;K IMPORTAÇÃO E EXPORTAÇÃO DE PEIXES ORNAMENTAIS LTDA</t>
  </si>
  <si>
    <t>Rua Dr. Ribamar Lobo, 451-A</t>
  </si>
  <si>
    <t>35 V Decreto 6514; 70 1º Lei 9605; 72 Lei 9605; 3º II Decreto 6514; 3º IV Decreto 6514.</t>
  </si>
  <si>
    <t>TPA54UDA</t>
  </si>
  <si>
    <t>Destruir 68,0 ha, de floresta nativa, sem autorização prévia do órgão ambiental competente, no polígono de ID2018TFP0175, de coordenadas geográficas S 08°05'56 W 70°12'33'', os vértices do polígono encontra-se Inseridos no mapa com análise temporal de imagem anexo.</t>
  </si>
  <si>
    <t>Manoel Odenelio Carvalho da Silva</t>
  </si>
  <si>
    <t>Colônia Belo Monte, Ramal do Eber km 16, manga lado direito km 1.2.</t>
  </si>
  <si>
    <t>FHUNACSU</t>
  </si>
  <si>
    <t>Desmatar 61,67 ha, a corte raso floresta nativa, sem autorização da autoridade competente, no polígono de ID2019TFP0060, de coordenadas geográficas S 08°45'02,7'' W69°30'58,0'', os vértices do polígono encontra-se Inseridos no mapa com análise temporal de imagem anexo.</t>
  </si>
  <si>
    <t>Adilson Custódio Bragança</t>
  </si>
  <si>
    <t>Lado esquerdo da BR 364 km 33, Manoel Urbano/Feijó, Ramal do Silvano km 1.</t>
  </si>
  <si>
    <t>Q8DY5HVF</t>
  </si>
  <si>
    <t>Destruir 97,46 ha, de floresta nativa, sem autorização prévia do órgão ambiental competente, no polígono de ID2019TFP0061, de coordenadas geográficas S 08°45'14,8'' W 69°31'22,6'', os vértices do polígono encontra-se Inseridos no mapa com análise temporal de imagem anexo.</t>
  </si>
  <si>
    <t>Adílson Custódio Bragança</t>
  </si>
  <si>
    <t>Lado esquerdo da BR 364 km 33, Manoel Urbano/Feijó, ramal do Silvano km 1.</t>
  </si>
  <si>
    <t>AGZ5EIV6</t>
  </si>
  <si>
    <t>Transportar 10 animais da fauna silvestre brasileira, sendo 06 tracajas vivo, 03 porcos queixada abatido,01 mutum abatido.Sem licença ou autorização do órgão ambiental competente</t>
  </si>
  <si>
    <t>Tiago de Braga Palheta</t>
  </si>
  <si>
    <t>Margem esquerda do Rio Branco região do Gessé Município de Caracaraí</t>
  </si>
  <si>
    <t>24 Inc. 3, § 3 Decreto 6514/2008; 24 Inc. 2 Decreto 6514/2008.</t>
  </si>
  <si>
    <t>SAVELKMF</t>
  </si>
  <si>
    <t>Deixar aquele que tem obrigação, de dar destinação ambientalmente adequada a resíduos (carga abandonada HREMEXPR 023 6208 6603 9262219078) quando assim determinar a lei ou ato normativo, conforme laudo de constatação (Relatório de Fiscalização xxx).</t>
  </si>
  <si>
    <t>Getúlio da Rocha Nogueira Filho</t>
  </si>
  <si>
    <t>PIP0TT6M</t>
  </si>
  <si>
    <t>Abandonar carga AWB 516 8618 1576 contendo produto perigoso  (UN 1719, caustic alkali liquid (amônia complex solution) - classe 8: corrosivo e UN 1993, classe 3: líquido inflamável) no aeroporto Internacional de Viracopos -SP.</t>
  </si>
  <si>
    <t>BUN-TECH TECNOLOGIA EM INSUMOS LTDA.</t>
  </si>
  <si>
    <t>U6MLD3H3</t>
  </si>
  <si>
    <t>Deixar de atender exigências legais ou regulamentares quando devidamente notificado pela autoridade ambiental competente no prazo concedido, visando à regularização, correção ou adoção de medidas de controle para cessar a degradação ambiental - Não atendimento da Notificação contida no Ofício n° xxx.</t>
  </si>
  <si>
    <t>QQSMDMXN</t>
  </si>
  <si>
    <t>Desmatar a corte raso 58.5 hectares de floresta do bioma cerrado, fora da reserva legal, sem autorização da autoridade  ambiental competente.
ID 2017LC8000012499</t>
  </si>
  <si>
    <t>João da Mota Pinheiro</t>
  </si>
  <si>
    <t>Fazenda Macaúba, Zona Rural do município Lageado Novo.</t>
  </si>
  <si>
    <t>FM6SMZLC</t>
  </si>
  <si>
    <t>Destruir 18,0 ha, de floresta nativa, sem autorização prévia do órgão ambiental competente. sendo 10,58 ha no ID2018TFP0158, de coordenadas geográficas S 08°17'11'' W 70°23'22'' e 7,47 ha no ID2019TFP0158, de coordenadas geográficas S 08°17'10'' W 70°23'31'', os vértices do polígono encontra-se Inseridos no mapa com análise temporal de imagem anexo.</t>
  </si>
  <si>
    <t>José Francisco Pereira de Lima</t>
  </si>
  <si>
    <t>Lado esquerdo da BR 364 Feijó/Tarauaca, ramal maravilha km 8, colônia São Francisco, seringal Benfica.</t>
  </si>
  <si>
    <t>VTW94KTK</t>
  </si>
  <si>
    <t>Deixar aquele que tem obrigação, de dar destinação ambientalmente adequada a resíduos (carga abandonada AWB 403 6680 1630) quando assim determinar a lei ou ato normativo, conforme laudo de constatação (Relatório de Fiscalização xxx).</t>
  </si>
  <si>
    <t>Aeroporto Internacional de Viracopos-SP.
Terminal de cargas.</t>
  </si>
  <si>
    <t>1585EFOX</t>
  </si>
  <si>
    <t>Destruir 12,55 ha, de floresta nativa, sem autorização prévia do órgão ambiental competente. No polígono de ID 2019TFP140, de coordenadas geográficas S 08°45'44,6'' W 69°28'05,0'', os vértices do polígono encontra-se Inseridos no mapa com análise temporal de imagem anexo.</t>
  </si>
  <si>
    <t>Sônia Gregório dos Santos Fonseca</t>
  </si>
  <si>
    <t>Sítio Monte Alegre, lado esquerdo da BR 364 Km 32, Manoel Urbano/Feijó.</t>
  </si>
  <si>
    <t>UINZXNY7</t>
  </si>
  <si>
    <t>Transportar 12 animais da Fauna Silvestre Brasileira , Sendo 07 Quelonio da Amazônia Tracajas vivo , 04 porco Queixada abatido,01 LPMuntum abatido.Sem licença ou autorização do órgão ambiental competente.</t>
  </si>
  <si>
    <t>Salvandir Rodrigues de Almeida</t>
  </si>
  <si>
    <t>Margem esquerda do Rio Branco região do Gessé Municipio de Caracaraí</t>
  </si>
  <si>
    <t>72 Lei 9605/98; 70 § 1 Lei 9605/98; 3 Inc. 2,4,5 Decreto 6514/2008.</t>
  </si>
  <si>
    <t>24 - II, 3 - III 6514/2008.</t>
  </si>
  <si>
    <t>KNDC9PF8</t>
  </si>
  <si>
    <t>Destruir 120,17 ha de vegetação nativa, mediante uso de fogo na Região Amazônica, objeto de especial preservação sem autorização do órgão ambiental competente polígono de coordenadas centrais 09°34'25"S e 57°52'54"W ID 2019OSR000969, conforme mapa com análise temporal de imagens. OBS: Em substituição do AISKJ7C (Erro CPF da infratora)</t>
  </si>
  <si>
    <t>Núcleo de Conciliação Ambiental Nacional 1</t>
  </si>
  <si>
    <t>Luzia Maria Alves Gonzaga</t>
  </si>
  <si>
    <t>Estrada do Ximari com acesso na Fazenda Canaã</t>
  </si>
  <si>
    <t>70 § 1 72 II,IX Lei 9605/98; 3º II,IX 50 § 2 Decreto 6514/2008; 3° II,IX 60 Inc. 1 Decreto 6514/2008.</t>
  </si>
  <si>
    <t>MG1FUET1</t>
  </si>
  <si>
    <t>Desmatar a corte raso, 56,65 hectares de vegetação nativa, típica de cerrado, na Fazenda Pedaço do Céu, município de Sítio Novo -MA, sem autorização da autoridade competente.</t>
  </si>
  <si>
    <t>KWYDGLENE GONCALVES SANTOS</t>
  </si>
  <si>
    <t>Fazenda Pedaço do Céu, Povoado São Raimundo, Sítio Novo do Maranhão</t>
  </si>
  <si>
    <t>ABIURC50</t>
  </si>
  <si>
    <t>Praticar ato tendente a pesca conduzindo petrcho de pesca não permitido (tarrafa).</t>
  </si>
  <si>
    <t>Dari Pereira da Silva</t>
  </si>
  <si>
    <t>Lago do Cocal</t>
  </si>
  <si>
    <t>CAS TABULEIROS II</t>
  </si>
  <si>
    <t>2JDEDRHP</t>
  </si>
  <si>
    <t>Destruir 56,107 há de vegetação nativa consumado com uso de fogo na região Amazônica objeto de especial preservação, sem autorização da autoridade ambiental competente localizada no polígono de coordenadas centrais 09° 59' 15,43 S 57° 55'  36,90" W, de ID 2019OSR000961, conforme mapa com análise temporal de imagens.</t>
  </si>
  <si>
    <t>Nivaldo Ramos de Souza</t>
  </si>
  <si>
    <t>Estrada MT 208 km 15, adentrando 03 km na estrada Palotina, até a área do polígono 2019OSR000961.</t>
  </si>
  <si>
    <t>12S9M4NX</t>
  </si>
  <si>
    <t>Fazer funcionar atividade utilizadora de recursos ambientais, considerada potencialmente poluidora (serraria), sem licença ou autorização dos órgãos ambientais competentes.</t>
  </si>
  <si>
    <t>RONALDO FRANCISCO SANTANA</t>
  </si>
  <si>
    <t>Serraria do Ronaldo, Rua sem Identificação, Vila Suldoeste, Zona Rural - São Félix do Xingú/PA</t>
  </si>
  <si>
    <t>FCCV1UDD</t>
  </si>
  <si>
    <t>Descumprir embargo de atividade de serraria, aplicado através do Termo de Embargo nº 706258-E, datado de 15/03/2015, com a continuidade da atividade embargada no local.</t>
  </si>
  <si>
    <t>Serraria do Ronaldo, rua sem denominação, vila Suldoeste, Zona Rural - São Félix do Xingú/PA</t>
  </si>
  <si>
    <t>YBZYOQFL</t>
  </si>
  <si>
    <t>Abandonar substâncias químicas perigosas nociva a saúde humana ou ao meio ambiente (UN 1956 - Compressed gas -oxygen, Nitrogen (classe 2.2 Gás não inflamável) e (UN 1954 - Compressed gás -  Butane, Nitrogen (classe 2.1, Gás inflamável), carga de conhecimento aéreo AWB 023 9781 8350 em desacordo com as exigências legalmente estabelecidas, conforme descrição no relatório de fiscalização xxx (Sei xxx).</t>
  </si>
  <si>
    <t>Dorildes de Fátima Furlan</t>
  </si>
  <si>
    <t>EPGO2MBB</t>
  </si>
  <si>
    <t>ADQUIRIR EM 24E MAIO DE 2019, 92570kg DE SOJA EM GMOS
NOTA FISCAL NUMEROS 1012810 E 1012791 PRODUZIDA EM AREÂ
EMBARGADA CONFORME TERMOS DE EMBARGO NUMEROS 7275/C DE
25/12/200, 7224/C DE 29/12/2007 E 817072/E.</t>
  </si>
  <si>
    <t>RUA terminal  dos MIlAGReS, 4000 A, BALSA  Porto Velha RO</t>
  </si>
  <si>
    <t>70,72 §1 Lei 9605/98; 3 54 Decreto 6514/2008.</t>
  </si>
  <si>
    <t>B58372ZT</t>
  </si>
  <si>
    <t>COMERCIALIZAR EM 24 DE MAIO DE 2019, FALTA FISCAIS NÚMEROS 1012810 E 1012791, DE SOJA EM GRÃOS, PRODUZIDA EM ÁREA EMBARGADA, CONFORME TERMOS DE EMBARGO Nº 7275/C DE 25/12/2007, 7224/C DE 29/12/2007 E 817072/E.</t>
  </si>
  <si>
    <t>rodovia BR 364 km 977, SN, zona rural, LTSB, 1C, 1GB, MARMELO, PA. FUND. A. MADEIRA, PORTO VELHO RO</t>
  </si>
  <si>
    <t>3H9LPG96</t>
  </si>
  <si>
    <t>Ter em depósito 101,1197m³ de madeiras em toras e serradas, sendo; 21,065m³ de madeira serrada da espécie Castanheira e 80,055m³ de madeira em toras de várias espécies, sem licença para o armazenamento, outorgada pela autoridade competente, nas volumetrias e essências descritas no levantamento de madeira encontradas no pátio.</t>
  </si>
  <si>
    <t>DEUSIMAR RIBEIRO VALDIVINO</t>
  </si>
  <si>
    <t>Serraria do Pezinho, Rua do campo de avião, s/n°, vila Suldoeste -  Zona Rural São Félix do Xingú/PA</t>
  </si>
  <si>
    <t>47, 1° Decreto Federal 6514/2008.</t>
  </si>
  <si>
    <t>BFM961JB</t>
  </si>
  <si>
    <t>Deixar de atender a exigências legais ou regulamentares quando devidamente notificado pela autoridade ambiental competente no prazo concedido, visando a regularização, correção ou adoção de medidas de controle para acessar a degradação ambiental - Não atendimento da notificação contida nos ofícios números xxx e xxx.</t>
  </si>
  <si>
    <t>DELLY KOSMETIC COMERCIO E INDUSTRIA LTDA</t>
  </si>
  <si>
    <t>SB7HMX27</t>
  </si>
  <si>
    <t>Abandonar carga (AWB 70965431730) contendo (substância química perigosa, (UN 1444 AMMONIUM PERSULFATE  (classe 5.1, OXIDISIM AGENT) no aeroporto Internacional de Viracopos/SP, em desacordo com as exigências legalmente estabelecidas, conforme descrição no 
relatório de fiscalização nº xxx.</t>
  </si>
  <si>
    <t>OPHKH705</t>
  </si>
  <si>
    <t>Adquirir em 24/05/2019 nota fiscal Nº 1003600, 45800 kg de soja em grãos produzidos em área embargada 7275/C de 22/12/2008, 7224/C de 29/12/2007 e 817072/E.</t>
  </si>
  <si>
    <t>AMAGGI EXPORTAÇÃO E IMPORTAÇÃO LTDA</t>
  </si>
  <si>
    <t>fazenda Vale VERDE</t>
  </si>
  <si>
    <t>54 Decreto 6514; 54 Decreto 6514; 70 1º Lei 9605; 72 Lei 9605; 3º II Decreto 6514.</t>
  </si>
  <si>
    <t>G1HY0ZS9</t>
  </si>
  <si>
    <t>Rodovia Br 364, km 977, SN, zona rural, Ltsb, 1GB, Marmelo, PA. FUND. A. MADEIRA, PORTO VELHO - RO</t>
  </si>
  <si>
    <t>LRQDRPN6</t>
  </si>
  <si>
    <t>Adquirir em 22/05/2019,92510 kgs de soja em grãos, nfs  1007719 e 1007626 produzidos em área de embargos- 7275/c, de 25/12/2008, 7225/c de 29/12/2007 e 817072/e.</t>
  </si>
  <si>
    <t>loteamento lote 1 , s/n PF AM porruchuela fundiário alro</t>
  </si>
  <si>
    <t>61 § único Decreto 6514/2008; 54 § único Decreto 6514/2008.</t>
  </si>
  <si>
    <t>AMYT1CSD</t>
  </si>
  <si>
    <t>Transportar 22,5624 m³ de madeira serrada sem licença ambiental outorgada pela autoridade competente.</t>
  </si>
  <si>
    <t>Piripiri</t>
  </si>
  <si>
    <t>Adriano Luiz Alves da Silva</t>
  </si>
  <si>
    <t>POSTO DA POLÍCIA RODOVIÁRIA FEDERAL DE PIRIPIRI - PIAUÍ</t>
  </si>
  <si>
    <t>CJK1S5EB</t>
  </si>
  <si>
    <t>Fazenda Nossa Senhora do Perpétuo Socorro</t>
  </si>
  <si>
    <t>26HY0N6R</t>
  </si>
  <si>
    <t>TRANSPORTAR 32,232M³ DE MADEIRA SERRADA DAS ESSENCIAS: ANGICO, SUMAUMA, SEM LICENÇA PARA TODO O TEMPO DA VIAGEM, OUTORGSDA PELA AUTORIDADE COMPETENTE.</t>
  </si>
  <si>
    <t>CELIRIA VASCONCE LOS RIBEIRO</t>
  </si>
  <si>
    <t>POSTO DA POLÍCIA RODOVIÁRIA FEDERAL EM PIRIPIRI_PI</t>
  </si>
  <si>
    <t>1JC5DIAK</t>
  </si>
  <si>
    <t>Exercer a pesca com a embarcação JOB NETO, Inscrição na autoridade marítima N°443-006335, sem autorização do órgão competente no cruzeiro de pesca realizado entre os dias 07/07/2016 a 27/07/2016.
Em substituição do AI n° 6226-E.</t>
  </si>
  <si>
    <t>ROGÉRIO LIMA COIMBRA</t>
  </si>
  <si>
    <t>lavrado nas dependências da SUPES SC.</t>
  </si>
  <si>
    <t>F6N6B99K</t>
  </si>
  <si>
    <t>Comercializar, em 30/05/2019, 92380 kg de soja em grãos produzida sobre área objeto de embargo (Termos 7274-C, 7275-C, 817072-E) conforme NFA 1025977 e 1026032.</t>
  </si>
  <si>
    <t>FAZENDA VALE VERDE I LT 1A GLEBA MARMELO VISTA ALEGRE DO ABUNA</t>
  </si>
  <si>
    <t>HKH46W8R</t>
  </si>
  <si>
    <t>Terminal dos Milagres, n° 400 A, Bairro Balsa - Porto Velho - RO.</t>
  </si>
  <si>
    <t>1IOYOXDD</t>
  </si>
  <si>
    <t>Comercializar na data 27/05/19, 46430 kgs de grãos de soja produzidas sobre área embargadas, conforme Nota Fiscal n° 1015173 Série 891 em desacordo com os Termos de Embargos n°s. 7224/C, 7275/C e 817072/E respectivamente.</t>
  </si>
  <si>
    <t>Rodovia BR 364, Km 977, Lts B 1 e C 1, Gleba Marmelo, PA Fund. Alto Madeira, Distrito de Vista Alegre do Abunã, zona rural do Município de Porto Velho - RO.</t>
  </si>
  <si>
    <t>PL542XTH</t>
  </si>
  <si>
    <t>Promover a conversão de qualquer item em veículos novos ou usados (Sistema SR/OBD Arla), que provoque alterações nos limites e exigências ambientais previstas na legislação. Caminhão marca/modelo: SCANIA/R 440 A6X4; espécie/tipo: TRA/C. TRATOR; ano fab./ano mod.: 2012/2012; Placa: AAZ-5554/PR; Cor Predominante: VERMELHA; chassi: 9BSR6X400C3806910. Motorista: Douglas Ricardo da Silva, CPF. Xxx.</t>
  </si>
  <si>
    <t>Petrolina</t>
  </si>
  <si>
    <t>IF TRANSPORTES LTDA.</t>
  </si>
  <si>
    <t>Rodovia BR. 428, Km.166, Serra da Santa, zona rural do Município de Petrolina LL - PE.</t>
  </si>
  <si>
    <t>71 Decreto 6514; 70 1º Lei 9605; 72 Lei 9605; 3º II Decreto 6514; 3º IV Decreto 6514.</t>
  </si>
  <si>
    <t>5JI21ARX</t>
  </si>
  <si>
    <t>Adquirir, em 21/05/2019, 92500 kg de soja em grãos produzida sobre área objeto de embargo (Termos 7274-C, 7275-C, 817072-E) conforme NFA 1003297 e 1003408.</t>
  </si>
  <si>
    <t>AFVZ3C2U</t>
  </si>
  <si>
    <t>Adquirir, em 30/05/2019, 92380 kg de soja em grãos produzida sobre área objeto de embargo (Termos 7274-C, 7275-C, 817072-E) conforme NFA 1025977 e 1026032.</t>
  </si>
  <si>
    <t>WIR8V97H</t>
  </si>
  <si>
    <t>TRANSPORTAR 19,992M³ DE MADEIRA SERRADA DE ESSÊNCIAS: ANGICO e SUMAUMA, SEM LICENÇA VÁLIDA PARA TODO O TEMPO DA VIAGEM, OUTORGSDA PELA AUTORIDADE COMPETENTE</t>
  </si>
  <si>
    <t>CELIRIA VASCONCELOS RIBEIRO</t>
  </si>
  <si>
    <t>POSTO DA POLÍCIA RODOVIÁRIA FEDERAL DE PIRIPIRI- PIAUÍ</t>
  </si>
  <si>
    <t>FIIAVJ89</t>
  </si>
  <si>
    <t>Comercializar, em 16/07/2019, 95060 kg de soja em grãos intacta produzida sobre área objeto de embargo (Termos 7274-C, 7275-C, 817072-E, conforme NFA 1126146 série 891 e 1126178 série 891.</t>
  </si>
  <si>
    <t>FAZENDA VALE VERDE I LT 1A GLEBA MARMELO</t>
  </si>
  <si>
    <t>DMEZAD7F</t>
  </si>
  <si>
    <t>Adquirir, em 19/07/2019, 33650 kg de soja em grãos intacta produzida sobre área objeto de embargo (Termos 7274-C, 7275-C, 817072-E) conforme NFA 1137030 série 891.</t>
  </si>
  <si>
    <t>BUNGE ALIMENTOS SA</t>
  </si>
  <si>
    <t>ELVJX8GI</t>
  </si>
  <si>
    <t>Comercializar, em 19/07/2019, 33650 kg de soja em grãos intacta produzida sobre área objeto de embargo (Termos 7274-C, 7275-C, 817072-E) conforme NFA 1137030 série 891.</t>
  </si>
  <si>
    <t>38Q7QP66</t>
  </si>
  <si>
    <t>Adquirir, em 12/09/2019, 180 bois gordos produzidos sobre área objeto de embargo (Termos 7274-C, 7275-C, 817072-E) conforme NFA 1242444 série 891.</t>
  </si>
  <si>
    <t>JBS S.A.</t>
  </si>
  <si>
    <t>FAZENDA VALE VERDE I LT 1A GLEBA MARMELO BR 364 KM 977</t>
  </si>
  <si>
    <t>F6ME9OIG</t>
  </si>
  <si>
    <t>Comercializar, em 12/09/2019, 180 unidades de boi gordo produzido sobre área objeto de embargo (Termos 7274-C, 7275-C, 817072-E) conforme NFA 1242444.</t>
  </si>
  <si>
    <t>COG185Q2</t>
  </si>
  <si>
    <t>Comercializar, em 21/05/2019, 92500 kg de soja em grãos produzida sobre área objeto de embargo (Termos 7274-C, 7275-C, 817072-E) conforme NFA 10032297 e 1003408.</t>
  </si>
  <si>
    <t>RYN2W48O</t>
  </si>
  <si>
    <t>Adquirir na data de 27/05/19, 92660 kgs de soja em grãos produzidos sobre áreas embargadas, Notas Fiscais n°s. 1015255 Série 891 e 1016061 Série  e desacordo com os Termos de Embargos n°s. 7224/C, 7275/C e 817072/E respectivamente.</t>
  </si>
  <si>
    <t>Rua Terminal dos Milagres, n° 400 A, Bairro Balsa Porto Velho - RO.</t>
  </si>
  <si>
    <t>VPC4OVEX</t>
  </si>
  <si>
    <t>Adquirir na data de 03/06/2019, 92.420 kgs. de grãos de soja intactas produzidas sobre áreas embargadas conforme notas fiscais n°1031857- Série 891 em  desacordo com os termos de embargos n° 7275/C, 7224/C  e 817072/E, respectivamente.</t>
  </si>
  <si>
    <t>Amaggi Exportação e Importação LTDA.</t>
  </si>
  <si>
    <t>Fazenda Vale Verde I RODOVIÁRIA FEDERAL BR 364 KM 977,000-Zona Rural Munícipio de Porto Velho/RO</t>
  </si>
  <si>
    <t>3KLT7M5D</t>
  </si>
  <si>
    <t>Dificultar ação do poder público no exercício de atividade de fiscalização ambiental (não atualizou endereço no SisPass).</t>
  </si>
  <si>
    <t>Marília</t>
  </si>
  <si>
    <t>VALTER DA SILVA VALGAS</t>
  </si>
  <si>
    <t>Residência do criador amador de Passeriformes</t>
  </si>
  <si>
    <t>3U24TXLI</t>
  </si>
  <si>
    <t>Comercializar 86350 kg de soja em grãos intacta produzida sobre área objeto de embargo (Termos 7274-C, 7275-C, 817072-E) conforme NFA 1134934 série 891 e 1134684 série 891.</t>
  </si>
  <si>
    <t>SZA31CQL</t>
  </si>
  <si>
    <t>Comercializar, em 16/07/2019, 95020 kg de soja em grãos intacta produzida sobre área objeto de embargo (Termos 7274-C, 7275-C, 817072-E) conforme NFA 1125957 série 891 e 1125861 série 891.</t>
  </si>
  <si>
    <t>01BR8VZD</t>
  </si>
  <si>
    <t>Adquirir 86350 kg de soja em grãos intacta produzida sobre área objeto de embargo (termos 7274-C, 7275-C, 817072-E) conforme NFA 1134934 série 891 e 1134684 série 891.</t>
  </si>
  <si>
    <t>4ZN7PKPA</t>
  </si>
  <si>
    <t>Adquirir, em 16/07/2019, 95020 kg de soja em grãos intacta produzida sobre área objeto de embargo (Termos 7274-C, 7275-C, 817072-E) conforme NFA 1125957 série 891 e 1125861 série 891.</t>
  </si>
  <si>
    <t>5C4DTTB9</t>
  </si>
  <si>
    <t>Adquirir, em 16/07/2019, 95060 kg de soja em grãos intacta produzida sobre área objeto de embargo (Termos 7274-C, 7275-C, 817072-E) conforme NFA 1126146 série 891 e 1126178 série 891.</t>
  </si>
  <si>
    <t>TMS34L03</t>
  </si>
  <si>
    <t>Adquirir nas datas de 07 e 08/06/19 93250 kgs  de grãos de soja intactas produzidas sobre áreas embargadas, conforme Notas Fiscais n°s. 1042678, Série 891 e 1045257 Série 891 em desacordo com os Termos de Embargos n°s. 7224/C, 7275/C e 817072/E, respectivamente.</t>
  </si>
  <si>
    <t>Rua: Terminal dos Milagres, n° 400 A, Bairro Balsa Porto Velho RO.</t>
  </si>
  <si>
    <t>70 § 1 72 II Lei 9605/98; 3º II 54 § único Decreto 6514/2008.</t>
  </si>
  <si>
    <t>79OLTYCJ</t>
  </si>
  <si>
    <t>Destruir (supressão) de 40,28 hectares de vegetação nativa de BIOMA MATA ATLÂNTICA (vegetação secundária em estágio inicial de regeneração), considerada de OBJETO ESPECIAL PRESERVAÇÃO, sem licença da autoridade ambiental competente.</t>
  </si>
  <si>
    <t>Arnoldo Wald Filho</t>
  </si>
  <si>
    <t>Fazenda das Aroeiras</t>
  </si>
  <si>
    <t>I7JAFGFM</t>
  </si>
  <si>
    <t>IMPORTAR AGROTÓXICO SEM RÓTULO NA EMBALAGEM INTRTNA E EXTERNA, EM DESACORDO COM AS EXIGÊNCIAS DO DECRETO 4.074/2002, AWB 724 0331 7171, LI 19/2901683-7.</t>
  </si>
  <si>
    <t>ADAMA BRASIL S/A</t>
  </si>
  <si>
    <t>Aeroporto internacional de Guarulhos</t>
  </si>
  <si>
    <t>0URL2RFA</t>
  </si>
  <si>
    <t>Comercializar, em 17/07/2019, 82150 kg de soja em grãos intacta produzida sobre área objeto de embargo (termos 7274-C, 7275-C, 817072-E) conforme NFA 1128123 série 891 e 1129617 série 891.</t>
  </si>
  <si>
    <t>FAZENDA VALE VERDE I LT 1 GLEBA MARMELO</t>
  </si>
  <si>
    <t>598Z1NNN</t>
  </si>
  <si>
    <t>Comercializar na data de 07/06/19, 92400 kgs  de grãos de soja intactas, produzidas sobre áreas embargadas, conforme Notas Fiscais n°s. 1044565, Série 891 e 1044548 Série 891 em desacordo com os Termos de Embargos n°s. 7275/C, 7224/C e 817072/E respectivamente.</t>
  </si>
  <si>
    <t>Rodovia BR 364, Km 977, Lts B-1, C-1, Gleba Marmelo, PA Fundo. Alto Madeira, zona rural do Município de Porto Velho RO.</t>
  </si>
  <si>
    <t>5NCNQV25</t>
  </si>
  <si>
    <t>Ter em cativeiro 31 (trinta e um) animais silvestres da fauna brasileira (09 cardeais, 02 juritis, 02 periquitos, 02 pássaros preto, 03 azulões, 02 rolinhas sangue de boi, 02 rolinhas cinza, 03 canários da terra, 1 ferreirinha, 03 Marias fita, 02 coleirinhas), sem autorização do órgão ambiental competente.</t>
  </si>
  <si>
    <t>Xique-Xique</t>
  </si>
  <si>
    <t>Valtércio da Silva Guedes</t>
  </si>
  <si>
    <t>Rua Edgar Pessoa, 17, Ponta da Ilha, Xique-Xique/BA</t>
  </si>
  <si>
    <t>24 Inc. 1,2,3 Decreto 6514/2008.</t>
  </si>
  <si>
    <t>A47FRLTB</t>
  </si>
  <si>
    <t>comercializar em 22/05/2019- nfs. 1007626 e 1007719 - 92510 kgs de soja em grãos, produzidos em  área, objeto de embargos - 7275/c de 25/12/2008 e 7224/2007. e 817072/e</t>
  </si>
  <si>
    <t>fazenda Vale VERDE - rodovia BR 364 km 977 - s/n</t>
  </si>
  <si>
    <t>7ANHZ4F7</t>
  </si>
  <si>
    <t>Comercializar na data de 27/05/19 92660 kgs de soja em grãos produzidas sobre áreas embargadas, conforme Notas Fiscais n°s. 1015255 Série 891 e 1016061 Série 891 em desacordo com os Termos de Embargos n°s. 7275/C, 7224/C e 817072/E, respectivamente.</t>
  </si>
  <si>
    <t>Rod. BR 364, Km 977, Lts B 1 e C1, Gleba Marmelo, PA Fund. Alto Madeira, Distrito de Vista Alegre do Abunã, Zona Rural do Município de Porto Velho - Tô.</t>
  </si>
  <si>
    <t>N23ODNPX</t>
  </si>
  <si>
    <t>comercializar em 21/05/2019 nf 1003600, 45 800 kgs de soja em graos, data ,produzidas na área objeto de embargos-7275/c, de 25/12/2008-7224/c de 29/12/2007 e 817072/e.</t>
  </si>
  <si>
    <t>fazenda Vale verde, localizada na rodovia BR 364, km 977, s/n - zona rural - LTSB.IC..Marmelo, Pá Fund.A. Madeira - Porto Velho</t>
  </si>
  <si>
    <t>7WR8FDD5</t>
  </si>
  <si>
    <t>Destruir 6,75 hectares de floresta nativa ou qualquer tipo de vegetação nativa  em estágio médio de regeneração do Bioma Mata Atlantica objeto de especial preservação, não passíveis de autorização para exploração ou supressão, mediante uso de motosserra e fogo.</t>
  </si>
  <si>
    <t>MARIA JANETE KOVALEK WEBER</t>
  </si>
  <si>
    <t>Estrada do Pinhalzinho municipio de Pinhão PR</t>
  </si>
  <si>
    <t>CC46Z29P</t>
  </si>
  <si>
    <t>Adquirir em 13/06/2019 e 14/06/2019 um total de 78.600kg de soja em grãos intacta, conforme Notas Fiscais n° 1056916 e 1059136, produzida sobre área de embargo (Termos de embargo 7275/C, 7274/C e 817072/E).</t>
  </si>
  <si>
    <t>Fazenda Vale Verde, Vista Alegre do Abunã, distrito de Porto Velho/RO.</t>
  </si>
  <si>
    <t>HI6CZUGU</t>
  </si>
  <si>
    <t>Comercializar em 13/06/2019 75.700kg de soja em grãos intacta, conforme Notas Fiscais n° 1056849 e 1056879, produzida sobre área de embargo (Termos de embargo 7275/C, 7274/C e 817072/E).</t>
  </si>
  <si>
    <t>8IQJHAFM</t>
  </si>
  <si>
    <t>Ter em depósito 102,4043m3 de madeira em toras e serradas das espécies Castanheira (espécie proibida de corte) e Jatobá, extraída de área não autorizada na área protegida terra Trincheira Bacajá.</t>
  </si>
  <si>
    <t>Serraria do Ronaldo, Rua desconhecida, s/n°, vila Suldoeste, Zona Rural - São Félix do Xingú/PA</t>
  </si>
  <si>
    <t>QX6C9OYQ</t>
  </si>
  <si>
    <t>Adquirir em 13/06/2019 75.700kg de soja em grãos intacta, conforme Notas Fiscais n° 1056849 e 1056879, produzida sobre área de embargo (Termos de embargo 7275/C, 7274/C e 817072/E).</t>
  </si>
  <si>
    <t>Fazenda Vale Verde, Vista Alegre do Abunã, distrito de Porto Velho/ RO.</t>
  </si>
  <si>
    <t>JWXWWDJM</t>
  </si>
  <si>
    <t>Adquirir em 12/06/2019 46.700kg de soja em grãos, conforme Nota Fiscal n° 1054205, produzida sobre área de embargo (Termos de embargo 7275/C, 7274/C e 817072/E).</t>
  </si>
  <si>
    <t>8ANU8YM7</t>
  </si>
  <si>
    <t>Comercializar em 10/06/2019 46.500kg de soja em grãos intacta, conforme Nota Fiscal n° 1046981, produzida sobre área de embargo (Termos de embargo 7275/C, 7274/C e 817072/E).</t>
  </si>
  <si>
    <t>JCEUL8LJ</t>
  </si>
  <si>
    <t>Comercializar em 12/06/2019 46.700kg de soja em grãos, conforme Nota Fiscal n° 1054205, produzida sobre área de embargo (Termos de embargo 7275/C, 7274/C e 817072/E).</t>
  </si>
  <si>
    <t>HGVNXTQR</t>
  </si>
  <si>
    <t>Comercializar em 22/05/2019 46.500kg de soja em grãos, conforme Nora Fiscal n° 100766, produzida sobre área de embargo (Termos de embargo 7275/C, 7274/C e 817072/E).</t>
  </si>
  <si>
    <t>Fazenda Vale Verde, Vista Alegre do Abunã, distrito de Porto Velho /RO</t>
  </si>
  <si>
    <t>AFLKLKGW</t>
  </si>
  <si>
    <t>Adquirir em 22/05/2019 46.500kg de soja em grãos, conforme Nora Fiscal n° 100766, produzida sobre área de embargo (Termos de embargo 7275/C, 7274/C e 817072/E).</t>
  </si>
  <si>
    <t>Fazenda Vale Verde Vista Alegre do Abunã, distrito de Porto Velho/ RO.</t>
  </si>
  <si>
    <t>OV9JAC4E</t>
  </si>
  <si>
    <t>Adquirir em 10/06/2019 46.500kg de soja em grãos intacta, conforme Nota Fiscal n° 1046981, produzida sobre área de embargo (Termos de embargo 7275/C, 7274/C e 817072/E).</t>
  </si>
  <si>
    <t>37DDCR1E</t>
  </si>
  <si>
    <t>Coletar espécime da fauna Silvestre Amazona aestiva, nativo, sem  a devida permissão, licença ou autorização da autoridades competentes,</t>
  </si>
  <si>
    <t>Ivinhema</t>
  </si>
  <si>
    <t>Joao Batista da Luz</t>
  </si>
  <si>
    <t>Rodovia 141 Zona Rural</t>
  </si>
  <si>
    <t>TCI BOCAIUVA IV</t>
  </si>
  <si>
    <t>24 Inc. 2 Decreto 6514/2008.</t>
  </si>
  <si>
    <t>E8SJUO4X</t>
  </si>
  <si>
    <t>dificultar a ação do poder público no exercício da atividade de fiscalização ambiental por não instalar e manter em funcionamento dispositivo de rastreamento preps na embarcação A M Z II inscrição na Marinha número 341-023331-8</t>
  </si>
  <si>
    <t>Itapemirim</t>
  </si>
  <si>
    <t>marcio wendell vettoraci</t>
  </si>
  <si>
    <t>itapemirim</t>
  </si>
  <si>
    <t>844GNK6O</t>
  </si>
  <si>
    <t>dificultar a ação do poder público no exercício da atividade de fiscalização ambiental por não instalar e manter em funcionamento dispositivo de rastreamento preps na embarcação Maria Luiza inscrição na marinha número 3410232737</t>
  </si>
  <si>
    <t>ALFREDO LUIZ GALLO BASTOS</t>
  </si>
  <si>
    <t>2ADLDB3N</t>
  </si>
  <si>
    <t>Dificultar a ação do poder de polícia no exercício de atividades de fiscalização ambiental pela não adesão ao Programa Nacional de Rastreamento de Embarcações Pesqueiras por Satélite - PREPS da embarcação Rio Tocantins, número de inscrição da marinha - TIE 3410236660.</t>
  </si>
  <si>
    <t>Alberto Lopes Gonçalves</t>
  </si>
  <si>
    <t>Porto de Itaoca.</t>
  </si>
  <si>
    <t>AHHOHEP6</t>
  </si>
  <si>
    <t>Receber a GF3 n° 638 sem a cobertura da documentação acobertadora do transporte (DACTE, DAMDFE, Registro de passagem) demonstrado inexistência do transporte e fraudando o sistema de controle e concessão florestal (Sistema DOF).</t>
  </si>
  <si>
    <t>G.S. SANTOS MADEIREIRA - ME</t>
  </si>
  <si>
    <t>SUPES-RO</t>
  </si>
  <si>
    <t>6, , Lei 11.442/2007.</t>
  </si>
  <si>
    <t>XMM3G916</t>
  </si>
  <si>
    <t>Ter em depósito 46,780 m3 de madeira, sendo 28,802 m3 de madeira em toras e 17,978 m3 de madeira serrada, sem licença para o armazenamento, outorgada pela autoridade competente, nas volumetrias e essências descritas no levantamento de madeira.</t>
  </si>
  <si>
    <t>ATAIR TOMAZ FERREIRA</t>
  </si>
  <si>
    <t>Serraria do Preto", localizada próxima a pista de pouso, Vila Sudoeste</t>
  </si>
  <si>
    <t>JFWNNBD7</t>
  </si>
  <si>
    <t>Descumprir embargo de atividade de serraria, aplicando através do termo de embargo n. 678704-E, datado de  30.07.2014, com a continuidade da atividade embargada no local.</t>
  </si>
  <si>
    <t>Serraria do Itamar - Av. Rio Negro, s/n. Distrito de Sudoeste. São Félix do Xingu/PA. CEP. 68380000.</t>
  </si>
  <si>
    <t>79 Decreto 6514; 70 1º Lei 9605; 72 Lei 9605; 3º II Decreto 6514; 3º IV Decreto 6514.</t>
  </si>
  <si>
    <t>S49PN9UX</t>
  </si>
  <si>
    <t>Dificultar a ação do poder público no exercício de atividades de fiscalização ambiental pela não adesão ao Programa Nacional de Rastreamento de Embarcações Pesqueiras por Satélite - PREPS da embarcação Mestre Antônio, número de inscrição da marinha TIE 3410238344.</t>
  </si>
  <si>
    <t>Jairo Luiz Layber Gianizelli</t>
  </si>
  <si>
    <t>Embarcação que estava atracada no Porto de Itaoca.</t>
  </si>
  <si>
    <t>6BJ6M3QS</t>
  </si>
  <si>
    <t>Destruir 10,113 ha de vegetação nativa, na região Amazonica, consumado com uso de fogo, área considerada objeto de especial preservação, sem autorização do órgão ambiental competente, localizada no polígono de coordenadas central  10°02'02"-S e 57°53'24"-W, de ID2019OSR000993, conforme mapa com análise temporal de imagens anexo.</t>
  </si>
  <si>
    <t>SERGIO FERNANDO COLETI</t>
  </si>
  <si>
    <t>Estrada MT-208, Km 20 , partindo do município de Nova Bandeirantes, adentrando a estrada Ubiratã.</t>
  </si>
  <si>
    <t>50 2º Decreto 6514; 60 I Decreto 6514; 70 1º Lei 9605; 72 Lei 9605; 3º II Decreto 6514; 3º VII Decreto 6514.</t>
  </si>
  <si>
    <t>9D8DEBKF</t>
  </si>
  <si>
    <t>Ter em depósito 73,257 metros cúbicos de madeira serrada e em toras sem licença  (DOF) outorgada pela autoridade ambiental competente.</t>
  </si>
  <si>
    <t>Apuí</t>
  </si>
  <si>
    <t>R W INDUSTRIA E COMERCIO DE MADEIRAS EIRELI EPP</t>
  </si>
  <si>
    <t>RW Indústria e Comércio de Madeiras Eireli</t>
  </si>
  <si>
    <t>DES GCDA BASE XXV</t>
  </si>
  <si>
    <t>4TMWWT0T</t>
  </si>
  <si>
    <t>Destruir 371,871 hectares de floresta Amazônica nativa, objeto de especial preservação, sem autorização do órgão ambiental competente do órgão competente. A destruição da floresta nativa foi identificada por meio de imagem de satélite, conforme ID 10253, período de 16/08/2015 a 07/08/2019, conforme carta imagem anexa ao Processo do Auto de infração código 4TMWWT0T</t>
  </si>
  <si>
    <t>Rosiana da Silva Queiroz</t>
  </si>
  <si>
    <t>Estrada do Plano Dourado, Gleba Bacajá</t>
  </si>
  <si>
    <t>XHOZ1XZD</t>
  </si>
  <si>
    <t>Destruir 10,64 hectares de floresta de vegetação nativa, objeto de especial preservação, não passível de autorização para exploração (vegetação secundária do Bioma Mata Atlântica em estágio médio de regeneração).</t>
  </si>
  <si>
    <t>Guarapuava</t>
  </si>
  <si>
    <t>CARLOS ALBERTO MATHEUS</t>
  </si>
  <si>
    <t>Fazenda Aroeira</t>
  </si>
  <si>
    <t>93 Decreto 6514/2008; 49 § 1 Decreto 6514/2008; 60 Inc. 1,2 Decreto 6514/2008.</t>
  </si>
  <si>
    <t>49R41VBR</t>
  </si>
  <si>
    <t>Dificultar a ação do Poder Público no exercício da atividade de fiscalização ambiental pela não adesão ao Programa Nacional de Rastreamento de Embarcações Pesqueiras por Satélite - PREPS da embarcação pesqueira Roberto II , número de inscrição da Marinha 341-023177-3.</t>
  </si>
  <si>
    <t>Leonardo Pereira de Oliveira</t>
  </si>
  <si>
    <t>Distrito de Itaipava.</t>
  </si>
  <si>
    <t>9I9PAWT5</t>
  </si>
  <si>
    <t>Ter em depósito 676,6491 m3 de madeiras em toras (616,1206 m3) e serradas (60,529 m3) de essências diversas, incluindo as essências castanheira e mogno, sem licença válida para o armazenamento emitida pelo órgão ambiental competente.</t>
  </si>
  <si>
    <t>394P1POG</t>
  </si>
  <si>
    <t>Fazer Funcionar atividade utilizadora de recursos ambientais, considerada potencialmente poluidora, empreendimento de desdobramento de madeira (serraria), sem licença ou autorização dos Órgãos Ambientais Competentes.</t>
  </si>
  <si>
    <t>Serraria do Pezinho, ao lado da pista de avião, Vila Suldoeste, Zona Rural - São Félix do Xingú/PA</t>
  </si>
  <si>
    <t>KUM45AUW</t>
  </si>
  <si>
    <t>Destruir 1,44 hectares de floresta nativa, objeto de especial preservação, não passíveis de autorização de supressão</t>
  </si>
  <si>
    <t>Ivana Fogaça Beraldo</t>
  </si>
  <si>
    <t>Imóvel Torres</t>
  </si>
  <si>
    <t>OLBTI3UI</t>
  </si>
  <si>
    <t>LAKELAND BRASIL S/A</t>
  </si>
  <si>
    <t>Terminal de cargas - Aeroporto Internacional de Viracopos/ SP</t>
  </si>
  <si>
    <t>CAM VERMELHO</t>
  </si>
  <si>
    <t>43UUKR3P</t>
  </si>
  <si>
    <t>Destruir 25,72 hectares de floresta de vegetação nativa, objeto de especial preservação, não passível de autorização para exploração (vegetação secundária do Bioma Mata Atlântica em estágio médio de regeneração).</t>
  </si>
  <si>
    <t>Francisco Pochenek</t>
  </si>
  <si>
    <t>Sítio São João</t>
  </si>
  <si>
    <t>XU6DV3AR</t>
  </si>
  <si>
    <t>.....................Destruir 2,94 hectares de vegetação nativa, do bioma Mata Atlântica, especial preservação, sem autorização da autoridade ambiental competente.</t>
  </si>
  <si>
    <t>Reserva do Iguaçu</t>
  </si>
  <si>
    <t>Genir Major</t>
  </si>
  <si>
    <t>Estrada Reserva do Iguaçu / Zattar</t>
  </si>
  <si>
    <t>0WZ3G0NF</t>
  </si>
  <si>
    <t>Fazer funcionar atividade utilizadora de recursos naturais, considerada potencialmente poluidora (serraria), sem licença  ou autorização emitida pelo órgão ambiental competente.</t>
  </si>
  <si>
    <t>Serraria do Itamar - Av. Rio Negro, s/n. Distrito de Sudoeste, São Félix do Xingu. Pará. CEP. 68380-000.</t>
  </si>
  <si>
    <t>2Q1H24QZ</t>
  </si>
  <si>
    <t>Destruir 217,329ha de vegetação nativa na Região Amazonica, área considerada objeto de especial preservação, sem autorização do órgão ambiental competente, localizada no polígono de coordenadas centrais 10°01'59,85''  S e 57°53'18,72'' W, de ID2019OSR000960, conforme mapa com análise temporal de imagens anexo.</t>
  </si>
  <si>
    <t>Marcelo Ribeiro de Lima</t>
  </si>
  <si>
    <t>Estrada MT 208 km 20 a partir da cidade de Nova Bandeirantes, adentrando 10 km na estrada Ubiratan.</t>
  </si>
  <si>
    <t>OZI8DL0V</t>
  </si>
  <si>
    <t>Destruir 17,16 ha de floresta de vegetação nativa, objeto de especial preservação, não passível de autorização para exploração (vegetação secundária do Bioma Mata Atlântica em estágio médio de regeneração).</t>
  </si>
  <si>
    <t>NERCI LIMA DE SOUZA</t>
  </si>
  <si>
    <t>Sítio Santa Clara, Linha Arroio Grande</t>
  </si>
  <si>
    <t>HEM6X0V6</t>
  </si>
  <si>
    <t>Vender 25,0000 estereo de lascas de Acapu (Vouacapoua americana) com Documento de Origem Florestal (código de controle 4392 9811 1149 1252) ideológicamente falso, uma vez que a madeira não saiu do Pátio Madeireia Jaiara Anapolis/GO, pelo fato do mesmo não existir fisicamente.</t>
  </si>
  <si>
    <t>JOSE MILTOM MARÇAL - EIRELI - ME</t>
  </si>
  <si>
    <t>Madeireira Jaiara (Avenida Fernando Costa, quadra 67, lote 7, Vila Jaiara).</t>
  </si>
  <si>
    <t>QU2AA9K6</t>
  </si>
  <si>
    <t>_____________________Por alterar qualquer item em veículos ou motores novos ou usados que provoque alteração nos limites e exigências ambientais previstas na legislação.</t>
  </si>
  <si>
    <t>Sorriso</t>
  </si>
  <si>
    <t>JOSIMAR DA SILVA RIBEIRO</t>
  </si>
  <si>
    <t>Posto da PRF de Sorriso/MT, Br 163, Km 733.</t>
  </si>
  <si>
    <t>71 Decreto 6514; 70 1º Lei 9605; 72 Lei 9605; 3º II Decreto 6514.</t>
  </si>
  <si>
    <t>TX2ACZ87</t>
  </si>
  <si>
    <t>Deixar aquele que tem obrigação, de dar destinação ambientalmente adequada a resíduos (carga abandonada AWB 406 4712 2784 MAWB W9A260SRZ8Z) quando assim determinar a lei ou ato normativo, conforme laudo de constatação (Relatório de Fiscalização n° xxx).</t>
  </si>
  <si>
    <t>Terminal de cargas.</t>
  </si>
  <si>
    <t>62 1º Decreto 6514; 70 1º Lei 9605; 72 Lei 9605; 3º III Decreto 6514.</t>
  </si>
  <si>
    <t>HJO86O62</t>
  </si>
  <si>
    <t>Apresentar informação falsa ao IBAMA em procedimento administrativo ambiental relativo a solicitação de anilhas registradas no Sistema SISPASS. O criador amadorista encaminhou imagem falsificada de ninho com filhotes de passeriformes em tentativa de ludibriar o IBAMA - UT/Caraguatatuba para conseguir as anilhas solicitadas em 16/10/2019.</t>
  </si>
  <si>
    <t>Rafael Gonçalves Baravieira</t>
  </si>
  <si>
    <t>Criador amadorista CPF xxx - rua Professor Ayrton Busch - 963 - Pq. Santa Edwiges - Bauru/SP</t>
  </si>
  <si>
    <t>IXL2RBVW</t>
  </si>
  <si>
    <t>Vender  994,0527 metros cúbicos/estereos de madeira serrada e de cerca, sem emissão de Documento de Origem Florestal , referente ao Pátio Madeireira Jaiara Anápolis/GO. Volumetria resultante da diferença  da madeira constante no pátio no Sistema DOF em comparação com a realmente constatada no pátio fisico.</t>
  </si>
  <si>
    <t>Pátio da Madeireira Jaiara (Avenida Fernando Costa, quadra 67, lote 7, Vila Jaiara).</t>
  </si>
  <si>
    <t>9, 1° IN IBAMA 1/2017.</t>
  </si>
  <si>
    <t>XIJE3IKU</t>
  </si>
  <si>
    <t>Transportar produto perigoso (produtos graxos contaminados com combustíveis transportados anteriormente) no veículo-tanque placa CYB-3719 MT-SORRISO, em desacordo com as exigências estabelecidas em leis ou seus regulamentos. O transporte estava sendo feito em veículo-tanque certificado para o transporte de Produtos Perigosos, apto para os grupos 2A, 2B, 2C, 7A e 27A1 (especificações INMETRO).</t>
  </si>
  <si>
    <t>MARCIO RODRIGO NOETZOLD</t>
  </si>
  <si>
    <t>Posto PRF, BR-163, km 733</t>
  </si>
  <si>
    <t>GQDRDLDS</t>
  </si>
  <si>
    <t>Descumprir embargo de atividade de serraria, aplicado através do Termo de Embargo n. 706260-E, datado de 28/03/2015, com a continuidade da atividade embargada no local.</t>
  </si>
  <si>
    <t>N5E6S8CQ</t>
  </si>
  <si>
    <t>Destruir 25,65 hectares, objeto de especial preservação, no Bioma Mata Atlântica, sem autorização ou licença da autoridade ambiental competente.</t>
  </si>
  <si>
    <t>Nelso Zambruski</t>
  </si>
  <si>
    <t>Fazenda Colina Verde</t>
  </si>
  <si>
    <t>QIBWY0I1</t>
  </si>
  <si>
    <t>Transportar 45,779 m3 de madeira serrada para exportação, com inconsistência no DOF nos campos 23 a 28 e 35.</t>
  </si>
  <si>
    <t>OMEGA REFLORESTADORA LTDA - EPP</t>
  </si>
  <si>
    <t>Ponte Binacional do Oiapoque</t>
  </si>
  <si>
    <t>CTF BINACIONAL VIII</t>
  </si>
  <si>
    <t>VK2PYJ24</t>
  </si>
  <si>
    <t>Destruir 80,617 há de vegetação nativa, consumado com uso de fogo, na região Amazônica, objeto de especial preservação, sem autorização da autoridade ambiental competente, no polígono de coordenadas centrais 10' 01' 49,0 S 57° 54' 04,1 E, de ID 2019OSR000992, conforme mapa com análise temporal de imagens.</t>
  </si>
  <si>
    <t>Guilherme Simoes Colle</t>
  </si>
  <si>
    <t>Estrada MT 208, km 20 a partir da cidade de Nova Bandeirantes, adentrando 9,5 km na estrada Ubiratan.</t>
  </si>
  <si>
    <t>HK03LUUO</t>
  </si>
  <si>
    <t>Destruir 680,709 hectares de floresta Amazônica, nativa, objeto de especial preservação, sem autorização do órgão ambiental competente do órgão competente. A floresta nativa foi destruída identificado por satélite ID 102521, entre 29/06/2015 e 07/08/2019, conforme carta imagem  anexa ao Processo do presente Auto de Infração. Fazenda Santa Lucia.</t>
  </si>
  <si>
    <t>Walquimar Nunes Barbosa</t>
  </si>
  <si>
    <t>Próximo a Estrada Plano Dourado</t>
  </si>
  <si>
    <t>F0YW9WKZ</t>
  </si>
  <si>
    <t>Transportar 31,108 M3 de madeira serrada de essências diversas, sem licença válida para todo tempo da viagem outorgada pela autoridade competente.</t>
  </si>
  <si>
    <t>ANA M. DE OLIVEIRA</t>
  </si>
  <si>
    <t>Posto da PRF em Valença do Piauí, KM 207 na BR 316.</t>
  </si>
  <si>
    <t>CAS ESPERA III</t>
  </si>
  <si>
    <t>18ZNA284</t>
  </si>
  <si>
    <t>Apresentar informação falsa no sistema oficial de controle (Sisflora).</t>
  </si>
  <si>
    <t>RODRIGO DA ROCHA RUSCHEL</t>
  </si>
  <si>
    <t>Lote de Terra Rural 32</t>
  </si>
  <si>
    <t>0J32UJ3H</t>
  </si>
  <si>
    <t>Destruir 53,2 ha de floresta nativa objeto de  especial preservação, não passível de autorização para supressão, no Bioma Mata Atlântica, utilizando fogo na consumação do ato.</t>
  </si>
  <si>
    <t>MARCOS DE OLIVEIRA CAMPOS</t>
  </si>
  <si>
    <t>Quinhão n 23-B, imóvel denominado Torres</t>
  </si>
  <si>
    <t>NHU44YC6</t>
  </si>
  <si>
    <t>Comercializar, produto de origem animal ( 18 unidades de bovinos), produzidos sobre área objeto de embargo: n°: 637241/E.</t>
  </si>
  <si>
    <t>LUCIANO ROTH FERRAZ DE OLIVEIRA</t>
  </si>
  <si>
    <t>Linha Jequitibá, km 38, Sul de Lábrea AM</t>
  </si>
  <si>
    <t>FBT4GLML</t>
  </si>
  <si>
    <t>Ter em cativeiro 2 (dois) animais silvestres (1  papagaio e 1 periquito) sem autorização do órgão ambiental competente.</t>
  </si>
  <si>
    <t>Gentio do Ouro</t>
  </si>
  <si>
    <t>NEILTON DE SOUZA CARVALHO</t>
  </si>
  <si>
    <t>Rod BA-160, km 24, distrito de Pedra Vermelha, Gentio do Ouro/BA</t>
  </si>
  <si>
    <t>MP9E5OB2</t>
  </si>
  <si>
    <t>_________________Transportar produto perigoso (sebo bovino, contaminado em tanque utilizado para transporte de combustíveis) nos veículos-tanque placas KAR-6743 e KAR-6533 que não constam em certificado emitido pelo INMETRO.</t>
  </si>
  <si>
    <t>VALE GRANDE IND. E COM. ALIMENTOS S/A</t>
  </si>
  <si>
    <t>84ELZC3S</t>
  </si>
  <si>
    <t>Ter em cativeiro 5 (cinco) animais silvestres ( 2 araras-canindé, 2 cardeais e 1 pássaro-preto) sem autorização do órgão ambiental competente.</t>
  </si>
  <si>
    <t>Firmo Antônio da Rocha</t>
  </si>
  <si>
    <t>Rod Ba-160( Xique-Xique - Barra), 225, Xique-Xique/BA</t>
  </si>
  <si>
    <t>BM5F2VPT</t>
  </si>
  <si>
    <t>Destruir 21,79 ha de floresta nativa objeto de especial preservação, não passível de autorização para supressão no Bioma Mata Atlântica, utilizando fogo na consumação do ato e atingindo espécie ameaçada (xaxim).</t>
  </si>
  <si>
    <t>Valdecir Martinelli</t>
  </si>
  <si>
    <t>Sítio Serra Lisa</t>
  </si>
  <si>
    <t>KT36OHWZ</t>
  </si>
  <si>
    <t>Construir barramento de concreto, impedindo o fluxo da água na época de cheia do Rio São Francisco, sem autorização do órgão ambiental competente.</t>
  </si>
  <si>
    <t>João da Cruz Desidério de Carvalho</t>
  </si>
  <si>
    <t>Lagoa de Ipueiras, Xique-Xique/BA.</t>
  </si>
  <si>
    <t>38BN3R7Y</t>
  </si>
  <si>
    <t>Ter em depósito 52,4374 metros cúbicos  de madeira serrada (levantamento da volumetria constante no processo administrativo resultante desta autuação), sem licença válida para todo o tempo do armazenamento (Documento de Origem Florestal) e em pátio clandestino, não  homologado pelo órgão  ambiental competente.</t>
  </si>
  <si>
    <t>Madeireira Cite Eireli (Avenida Summerville, quadra 14, lote 2, Setor Summerville).</t>
  </si>
  <si>
    <t>40, 1° IN IBAMA 24/2014.</t>
  </si>
  <si>
    <t>HV9P2DQ8</t>
  </si>
  <si>
    <t>"Serraria do Preto", localizada próxima a pista de pouso, Vila Sudoeste</t>
  </si>
  <si>
    <t>9HTCUP7Z</t>
  </si>
  <si>
    <t>introduzir espécime animal silvestre exótico no país (javali - Sua scrofa), sem licença expedida pela autoridade ambiental competente</t>
  </si>
  <si>
    <t>Colatina</t>
  </si>
  <si>
    <t>JAZIR BOLZANI</t>
  </si>
  <si>
    <t>Fazenda Asa Branca</t>
  </si>
  <si>
    <t>ZRVY2NVV</t>
  </si>
  <si>
    <t>Utilizar, mediante o transporte 153 espécimes da fauna silvestre nativa, sendo 140 papagaios, 3 araras Canindé e 10 pássaros pretos, sem a devida licença de órgão ambiental competente. Os psitacídeos constam do anexo II da CITES.</t>
  </si>
  <si>
    <t>RENATO DIAS</t>
  </si>
  <si>
    <t>Posto da PRF, BR 040 km 471</t>
  </si>
  <si>
    <t>8E1EI41M</t>
  </si>
  <si>
    <t>Transportar 37,104 metros cúbicos de madeira serrada sem licença válida (DOF) para todo o tempo da viagem, outorgada pela autoridade competente.</t>
  </si>
  <si>
    <t>Robson Silvio Duque</t>
  </si>
  <si>
    <t>Rua Rio de Janeiro</t>
  </si>
  <si>
    <t>UWSGB5NR</t>
  </si>
  <si>
    <t>Ter em cativeiro um curió sem anilha, sem a devida autorização da autoridade ambiental competente.</t>
  </si>
  <si>
    <t>Rua Benjamim Constant, 1443, Centro, CEP 68790000</t>
  </si>
  <si>
    <t>24 3º III Decreto 6514; 70 1º Lei 9605; 72 Lei 9605; 3º I Decreto 6514; 3º IV Decreto 6514.</t>
  </si>
  <si>
    <t>699W6LY2</t>
  </si>
  <si>
    <t>Descumprir embargo n° 638279/C, datado de 17/04/2012, numa área de 345,94 hectares, na Fazenda Bossa Nova, com o desenvolvimento de atividade de pecuária com utilização de gado bovino.</t>
  </si>
  <si>
    <t>Brasnorte</t>
  </si>
  <si>
    <t>LAERCIO FAEDA</t>
  </si>
  <si>
    <t>Fazenda Bossa Nova - zona rural do município de Brasnorte/MT.</t>
  </si>
  <si>
    <t>DES GCDA BASE XXVII</t>
  </si>
  <si>
    <t>HMXCFBN7</t>
  </si>
  <si>
    <t>Destruir 8,85 floresta nativa objeto de especial preservação (bioma Mata Atlântica, formação Floresta Ombrófila Mista), em estagio médio de regeneração, não passivel de autorização para exploração ou supressão, mediante corte com motosserra e uso de fogo,</t>
  </si>
  <si>
    <t>LUIZ CARLOS ALVES DE OLIVEIRA</t>
  </si>
  <si>
    <t>Localidade de Bugio</t>
  </si>
  <si>
    <t>4WFWPS3G</t>
  </si>
  <si>
    <t>Por transportar produto perigoso (ONU 1075) no veículo Scania/R440 A6X2, de placas QBB-6936 e reboque de placa QBB-6196, desprovidos de Certificado de Inspeção Veicular - CIV/INMETRO.</t>
  </si>
  <si>
    <t>COMERCIO VAREJISTA DE GAS MOLINA LTDA</t>
  </si>
  <si>
    <t>Posto da PRF de Sorriso, Br 163, Km 733.</t>
  </si>
  <si>
    <t>AY64KQ9K</t>
  </si>
  <si>
    <t>Destruir 332,71 hectares de floresta nativa na região Amazônica, objeto de especial preservação, sem autorização do órgão ambiental competente do órgão competente. Observo que a destruição da floresta nativa ocorreu entre 28/06/2015 e 15/08/2019, conforme carta imagem anexa ao Processo.</t>
  </si>
  <si>
    <t>Ludimila Gardingo Silva</t>
  </si>
  <si>
    <t>Rodovia BR 317, km 10, PA Monte, Linha 08, km 57</t>
  </si>
  <si>
    <t>5TFMTAVG</t>
  </si>
  <si>
    <t>Destruir 138,67 hectares de floresta nativa do Bioma amazônia consumado com utilização de fogo, objeto especial de preservação, sem autorização da autoridade ambiental competente. Referente - ID 2019AWS000044350</t>
  </si>
  <si>
    <t>DOUGLAS MARTIN PAES DE BARROS</t>
  </si>
  <si>
    <t>Fazenda Subauna - Zona Rural - Juara - MT</t>
  </si>
  <si>
    <t>60, I  Decreto Federal 6.514/08; 225, 4° Constituição Federal 1988.</t>
  </si>
  <si>
    <t>QGKCNOKQ</t>
  </si>
  <si>
    <t>Apresentar  informação  falsa  no  SISPASS,  tendo  transferido  a  ave  azulão  SISPASS  2.8  MG/A  071512  em  02/05/2019,  após  o  falecimento  da  criadora Rosângela A. de Oliveira em 14/04/2018.</t>
  </si>
  <si>
    <t>JUVENIL PEREIRA DA SILVA</t>
  </si>
  <si>
    <t>Rua Oliveira Joséda Silva,219,B Eneias Ferreira Aguiar</t>
  </si>
  <si>
    <t>70 §1 Lei 9605/98; 72 Lei 9605/98; 3 2,10 Decreto 6514/2008.</t>
  </si>
  <si>
    <t>NRURUAPL</t>
  </si>
  <si>
    <t>Transportar produto perigoso (ONU 1202) no veículo marca Mercedes-Benz modelo L1620 e reboque placa ANZ-7669, desprovido de Equipamento de Proteção Individual - EPI (óculos de segurança).</t>
  </si>
  <si>
    <t>Mauro Leite Ribeiro</t>
  </si>
  <si>
    <t>Posto PRF, BR-163, km 947</t>
  </si>
  <si>
    <t>ZOB2Y3JZ</t>
  </si>
  <si>
    <t>Deixar de inscrever-se na atividade "18-1 - Transporte, Terminais, Depósitos e Comércio - Transporte de cargas perigosas" junto ao Cadastro Técnico Federal - CTF/ IBAMA.</t>
  </si>
  <si>
    <t>TRANSPORTES RODOVIÁRIOS GIANESINI LTDA</t>
  </si>
  <si>
    <t>EXP WARA II</t>
  </si>
  <si>
    <t>70 1° 72 II Lei 9605/98; 3 II 76 Decreto 6514/2008.</t>
  </si>
  <si>
    <t>B47L7OO9</t>
  </si>
  <si>
    <t>Conforme informado no documento SEI xxx e xxx no processo administrativo 02055.000894/2019-46, fora confirmado as divergências nas GF3s 632, 634, 635, 637, 638 com suas respectivas notas fiscais invalidando os documentos de acordo com os incisos I, V e VI do art. 48 da IN 21/2014.</t>
  </si>
  <si>
    <t>ROSA ORIDES COMINI-EPP</t>
  </si>
  <si>
    <t>6J85TGDS</t>
  </si>
  <si>
    <t>transportar 48 m3 de madeira serrada de essências diversas sem licença válida para todo tempo da viagem outorgada pela autoridade competente.</t>
  </si>
  <si>
    <t>Adriano Peixoto caminha</t>
  </si>
  <si>
    <t>Posto da PRF BR 316 km 194</t>
  </si>
  <si>
    <t>YW76EXIB</t>
  </si>
  <si>
    <t>Destruir 84,81 ha de vegetação nativa, objeto de especial preservação, floresta amazônica, sem autorização ou licença da autoridade ambiental competente (DETER 15163).</t>
  </si>
  <si>
    <t>José Plínio Freitas Campos</t>
  </si>
  <si>
    <t>Margem direita do Rio Sucurundi 3 Km a jusante da balsa na BR 230.</t>
  </si>
  <si>
    <t>VFTQVNMF</t>
  </si>
  <si>
    <t>Deixar de apresentar relatórios com informações ambientais nos prazos exigidos pela legislação. Falta de entrega do relatório anual de atividades potencialmente poluidoras RAPP
referente ao ano de 2018 /2017.</t>
  </si>
  <si>
    <t>Núcleo de Conciliação Ambiental/ES</t>
  </si>
  <si>
    <t>Marataízes</t>
  </si>
  <si>
    <t>AIDE SAD JUNIOR EPP</t>
  </si>
  <si>
    <t>Sede da empresa Aide Sad Junior</t>
  </si>
  <si>
    <t>LAG ARGUS MAR II</t>
  </si>
  <si>
    <t>QHELM987</t>
  </si>
  <si>
    <t>apresentar informação falsa no sistema oficial de controle. informar no registro no junto ao cadastro técnico federal que empresa é classificada como microempresa quando o registro junto à receita federal demonstra que a empresa possui porte pequeno - EPP .</t>
  </si>
  <si>
    <t>sede da empresa Aide Sad Junior</t>
  </si>
  <si>
    <t>3TNJS7JC</t>
  </si>
  <si>
    <t>Apresentar informações omissas nos sistemas oficiais de controle . Não informar no cadastro técnico federal que realiza atividade de beneficiamento de pescado objetos de
Licença Simplificada LS 572/2015.</t>
  </si>
  <si>
    <t>B3QYBHOO</t>
  </si>
  <si>
    <t>Obstar a ação do Poder Público no exercício da atividade de fiscalização por não manter em funcionamento o equipamento de rastreamento PREPS na embarcação MARIANA III, número de inscrição na Capitania dos Portos 341-023756-9</t>
  </si>
  <si>
    <t>Jose Antônio Montagnoli de Lyrio</t>
  </si>
  <si>
    <t>trapiche</t>
  </si>
  <si>
    <t>0QJZ635R</t>
  </si>
  <si>
    <t>Transportar 33.1 metros cúbicos de madeira serrada de acessos diversas indecisa rosa para todo tempo a viagem, outorgada pela autoridade competente.</t>
  </si>
  <si>
    <t>Alegrete do Piauí</t>
  </si>
  <si>
    <t>Tiago Almeida Rodrigues</t>
  </si>
  <si>
    <t>Posto da Polícia Rodoviária Federal em Alegrete do Piauí/PI.</t>
  </si>
  <si>
    <t>3JOPHYLH</t>
  </si>
  <si>
    <t>Portar e utilizar 01 motosserra na firma Cuiabá Madeiras e Compensados Ltda.sem licença ou autorização da autoridade ambiental competente.</t>
  </si>
  <si>
    <t>Sede da firma Cuiabá Madeiras e Compensados Ltda.</t>
  </si>
  <si>
    <t>OYXU424S</t>
  </si>
  <si>
    <t>Descumprir embargo de atividades de desdobramento de madeira, aplicado através do termo de embargo de n° 706205-E lavrado 31/03/2015 com continuidade da atividade embargada no local.</t>
  </si>
  <si>
    <t>Q1HTZ08Z</t>
  </si>
  <si>
    <t>Impedir a regeneração natural da vegetação nativa na área de 1060,089ha, objeto de Embargo conforme o Termo de n° 0245396-C, atrelado ao auto de infração 381139-F, ambos datados de 03/09/2004, constantes do processo administrativo SEI 02054.000900/2004-99. Infração constatada de acordo com vistoria no próprio local.</t>
  </si>
  <si>
    <t>Brandalise Empreendimentos Rurais LTDA.</t>
  </si>
  <si>
    <t>Estrada Maracatiara, km 60, propriedadw denominada Candelária, antiga fazenda Baía, zona rural do município de Apiacás-MT.</t>
  </si>
  <si>
    <t>HPDP66DY</t>
  </si>
  <si>
    <t>Destruir 9,98 hectares de floresta nativa, objetivo de especial preservação, sem autorização ou licença da autoridade ambiental competente.</t>
  </si>
  <si>
    <t>ANTONIO NEIRI NASCIMENTO</t>
  </si>
  <si>
    <t>Zona Rural Fazenda Bom Retiro</t>
  </si>
  <si>
    <t>50 § 1 Decreto 6514/2008; 60 Inc. 2 Decreto 6514/2008.</t>
  </si>
  <si>
    <t>7YFM02BX</t>
  </si>
  <si>
    <t>Deixar de se inscrever no Cadastro Técnico Federal de que trata o artigo 17 da lei federal 6938/81.</t>
  </si>
  <si>
    <t>Três Irmãos Engenharia Ltda</t>
  </si>
  <si>
    <t>Posto PRF Nova Santa Helena</t>
  </si>
  <si>
    <t>Q25D027D</t>
  </si>
  <si>
    <t>...................... Danificar 5,79 hectares de florestas, objeto de especial preservação, sem autorização ou licença da autoridade ambiental competente.</t>
  </si>
  <si>
    <t>Neuraci Maria da Silva</t>
  </si>
  <si>
    <t>Bom Retiro Zattarlandia</t>
  </si>
  <si>
    <t>O8RU98OS</t>
  </si>
  <si>
    <t>...............Descumprir Embargo na área de 1.060,089 há, referente ao TE n° 0245396-C, atrelado ao AI n° 381139-D, datados de 03.09.2004, constantes do processo SEI 02054.000900/2004-99, com presença de gado na referida área, conforme vistoria no próprio local.</t>
  </si>
  <si>
    <t>Brandalise Empreendimentos Rurais Ltda.</t>
  </si>
  <si>
    <t>Estrada Maracatiara km 60 a partir da cidade de Apiacás-MT, Fazenda Candelária ex Fazenda Vaca Baia.</t>
  </si>
  <si>
    <t>PK0C9SE9</t>
  </si>
  <si>
    <t>_________________________ Destruir 137,19 hectares de floresta nativa amazônica, objeto de especial preservação, sem autorização do órgão ambiental competente. Coordenadas com polígono anexos ao processo. ID 2019AWS000011179.</t>
  </si>
  <si>
    <t>Denilson Borba Mesquita</t>
  </si>
  <si>
    <t>Imóvel rural, localizado na Gleba Jamanxin, distrito de Moraes Almeida, município de Itaituba, Pará, zona rural.</t>
  </si>
  <si>
    <t>O8TAOYXR</t>
  </si>
  <si>
    <t>..... Destruir 71,231ha de vegetação nativa, na Região Amazonica, área considerada objeto de especial preservação, sem autorização do órgão ambiental competente, localizada no poligono de coordenadas centrais 09°19'16,09'' S e 57°31'55,08'' W, de ID2019OSR000990, conforme mapa com análise temporal de imagens.</t>
  </si>
  <si>
    <t>Debira Barbosa</t>
  </si>
  <si>
    <t>Estrada Maracatiara,. 45, zona rural do município de Apiacás-MT.</t>
  </si>
  <si>
    <t>50 2º Decreto 6514; 60 I Decreto 6514; 70 1º Lei 9605; 72 Lei 9605; 3º II Decreto 6514.</t>
  </si>
  <si>
    <t>6G0RNKZP</t>
  </si>
  <si>
    <t>Destruir 142,64 hectares da floresta nativa da região amazônica, objeto de especial preservação sem autorização do Órgão ambiental competente definidas no polígono do centroide 06,26,01,96-S e 55,04,17,45  -W ID 2019SWS000016972</t>
  </si>
  <si>
    <t>ALECHANDRE CANEI</t>
  </si>
  <si>
    <t>zona rural de Altamira nas coordenadas geográficas 06,26,0196-S e 55,04,17,45-w e ID 2019AWS 000016872</t>
  </si>
  <si>
    <t>11JPMF3E</t>
  </si>
  <si>
    <t>............. Destruir 126,247 há de vegetação nativa, consumado com uso de fogo, na região Amazônica, objeto de especial preservação, sem autorização da autoridade ambiental competente, no polígono de coordenadas centrais 09° 50' 54,60 S 57° 56' 58,93" W, de ID 2019OSR000970, conforme mapa com análise temporal de imagens.</t>
  </si>
  <si>
    <t>Rosinete Celestrine.</t>
  </si>
  <si>
    <t>Estrada Cruzeiro do Oeste km 22,5 a partir da cidade de Nova Bandeirantes MT.</t>
  </si>
  <si>
    <t>85IW25FB</t>
  </si>
  <si>
    <t>....................... Destruir 84,595 há de vegetação nativa, consumado com uso de fogo, na região Amazônica, objeto de especial preservação, sem autorização da autoridade ambiental competente, no polígono de coordenadas centrais, 09° 50' 12,87" S 57° 57' 00,92" W, de ID 2019OSR000954, conforme mapa com análise temporal de imagens.</t>
  </si>
  <si>
    <t>EDILEUSA CAMILO DA SILVA VIANA</t>
  </si>
  <si>
    <t>Estrada Cruzeiro do Oeste km 22 a partir da cidade de Nova Bandeirantes MT.</t>
  </si>
  <si>
    <t>OAOPB6OP</t>
  </si>
  <si>
    <t>Destruir 61,219 há de vegetação nativa, consumado com uso de fogo, na região Amazônica, objeto de especial preservação, sem autorização da autoridade ambiental competente, no polígono de coordenadas centrais 09° 35' 47,21" S 57° 35' 15,55" W, de ID 2019OSR000966, conforme mapa com análise temporal de imagens.</t>
  </si>
  <si>
    <t>Jonny Jefferson Fernandes Padovani</t>
  </si>
  <si>
    <t>Estrada Santana km 26 a partir da cidade de Apiacás-MT.</t>
  </si>
  <si>
    <t>NCDTD0K1</t>
  </si>
  <si>
    <t>Dificultar a ação fiscalizatória do poder público no exercício das atividades de fiscalização ambiental. Os funcionários da empresa retiraram as caudas das lagostas abaixo do tamanho mínimo permitido (14,9kg) de dentro da empresa, onde estavam sendo beneficiadas, e as escondeu dentro de um depósito, com a finalidade de esquivar-se da fiscalização do Ibama. No depósito também foram encontrados 03 Canários da terra, escondidos ali com o mesmo propósito</t>
  </si>
  <si>
    <t>Albani Ferreira Carneiro</t>
  </si>
  <si>
    <t>Beneficiadora de pescado</t>
  </si>
  <si>
    <t>826YFKO8</t>
  </si>
  <si>
    <t>Usar, em 283 hectares, produto tóxico (Agrotóxicos) à saúde humana e perigoso ao meio ambiente em desacordo com as exigências estabelecidas em leis ou seus regulamentos. Aplicação de agrotóxicos utilizando aeronave agrícola PT-WXC em desacordo com as normas.</t>
  </si>
  <si>
    <t>CEREAIS VALE DO JAVAES AGROINDUSTRIAL S/A</t>
  </si>
  <si>
    <t>Projeto Rio Formoso, Etapa II, Módulo E-03</t>
  </si>
  <si>
    <t>9STB5WX2</t>
  </si>
  <si>
    <t>Ter em depósito produto tóxico à saúde humana e perigoso ao meio ambiente em desacordo com as exigências estabelecidas em leis ou seus regulamentos, conforme relação em anexo.</t>
  </si>
  <si>
    <t>Sede da Fazenda Cooperjava, Etapa II.</t>
  </si>
  <si>
    <t>LPTXQB9D</t>
  </si>
  <si>
    <t>Ter em cativeiro 03 espécimes de pássaros silvestres (canário da terra) sem autorização do órgão ambiental competente. Os espécimes não possuíam anilha</t>
  </si>
  <si>
    <t>ALBANI FERREIRA CARNEIRO</t>
  </si>
  <si>
    <t>BENEFICIADORA DE PESCADO ALBANI FERREIRA CARNEIRO</t>
  </si>
  <si>
    <t>24 3º III Decreto 6514; 70 1º Lei 9605; 72 Lei 9605; 3º II Decreto 6514.</t>
  </si>
  <si>
    <t>GOE95J3Y</t>
  </si>
  <si>
    <t>Beneficiar 14,9 kg de lagosta vermelha (Panulirus argus) provenientes da pesca proibida (abaixo do tamanho mínimo permitido)</t>
  </si>
  <si>
    <t>Peixaria do Lilico</t>
  </si>
  <si>
    <t>Beneficiadora de pescado ALBANI FERREIRA CARNEIRO</t>
  </si>
  <si>
    <t>EXZVLGVM</t>
  </si>
  <si>
    <t>_____________________ Por transportar produto perigoso (ONU 1075) nós veículos Scania / R440 A6x2, de placas QBB-6936 e reboque de placa QBB-6196 desprovidos de Certificado de Inspeção Veicular - CIV/INMETRO.</t>
  </si>
  <si>
    <t>COMÉRCIO VAREJISTA DE GÁS MOLINA LTDA</t>
  </si>
  <si>
    <t>5BZEYQQX</t>
  </si>
  <si>
    <t>Promover a conversão de qualquer item em veículo ou motores novos ou usados que provoque alterações nós limites e exigências ambientais previstas na legislação. Por promover alteração no sistema SCR do veículo Volvo FH 460 7X4T de placas AEG-7546/PR, para que o mesmo transitasse com uso de combustível S 500, quando o correto seria o uso de S 10 consorciado ao uso de ARLA 32, que reduziriam a emissão de poluentes. Tal expediente foi alcançado com uso de dispositivo instalado na parte elétrica do veículo visando fraudar as informações enviadas ao sistema OBD que diagnostica como correto, aquilo que está errado.</t>
  </si>
  <si>
    <t>ORSOLETA TRANSPORTES RODOVIARIOS EIRELI</t>
  </si>
  <si>
    <t>1WSYUX78</t>
  </si>
  <si>
    <t>_______________________ Por permitir a condução de veículo caminhão Volvo FH 460 7X4T de placas AWG-7546/PR, em desacordo com os limites e exigências ambientais previstas na legislação. Por permitir o trânsito de veículo de sua propriedade utilizando combustível óleo diesel S 500, inapropriado para o modelo fabricado após 2012, sendo o correto o uso de S-10 consorciado ao uso de ARLA 32.</t>
  </si>
  <si>
    <t>LRX7KE1I</t>
  </si>
  <si>
    <t>Por permitir a condução do veículo caminhão Volvo FH 460 6X4T de placas AWG-7546 - PR, em desacordo com os limites e exigências ambientais previstos na legislação. Por permitir o trânsito de veículo de sua propriedade sem o uso de ARLA 32, restando o tanque próprio para seu armazenamento totalmente vazio.</t>
  </si>
  <si>
    <t>9ZZ7QTPK</t>
  </si>
  <si>
    <t>....................Destruir 7,79 hectares de floresta nativa objeto de especial preservação, não passíveis de autorização de supressão.</t>
  </si>
  <si>
    <t>Rafael Pagnoncelli</t>
  </si>
  <si>
    <t>Estrada São Francisco</t>
  </si>
  <si>
    <t>49 § 1 Decreto 6514/2008; 60 Inc. 1 Decreto 6514/2008.</t>
  </si>
  <si>
    <t>GDMBN17E</t>
  </si>
  <si>
    <t>_______________________ Por permitir a condução de veículo em desacordo com os limites e exigências ambientais previstas na legislação. Veículo Volvo de placas OBG-7524, contendo o ARLA 32 adulterado, mesmo estando o tanque auxiliar na conformidade (coloração AZUL no teste de Negro de Eriocromo), restou o tanque principal com Arla 32 INADEQUADO para consumo (coloração ROSADA no teste de Negro de Eriocromo)</t>
  </si>
  <si>
    <t>MARTELLI TRANSPORTES LTDA</t>
  </si>
  <si>
    <t>QJEH3ZQ1</t>
  </si>
  <si>
    <t>Portar 3 motosserras (Husqvarna 272XP série 2014/3410843 sem sabre e corrente, STIHL com sabre e corrente sem série, Husqvarna 281XP série incompleta final 7993 com sabre e corrente) sem registro da autoridade ambiental competente.</t>
  </si>
  <si>
    <t>RENAN RODRIGUES DE LIMA</t>
  </si>
  <si>
    <t>PMFS xxx
Sitio xxx Gleba Curuquetê Linha 1 km 105</t>
  </si>
  <si>
    <t>VDE2FQEZ</t>
  </si>
  <si>
    <t>.................... Destruí 19,39 hectares de floresta nativa, objeto de especial preservação,não passível de autorização para supressão.</t>
  </si>
  <si>
    <t>JOAOZINHO MORELLO DA SILVA</t>
  </si>
  <si>
    <t>Faxinal dos Ribeiros</t>
  </si>
  <si>
    <t>49 § 1 Decreto 6514/2008; 60 Inc. 2 Decreto 6514/2008.</t>
  </si>
  <si>
    <t>A1KDJ8PG</t>
  </si>
  <si>
    <t>Destruir 143,18 hectares de Floresta Nativa do Bioma Amazônico, consumado com utilização de fogo, Objeto de Especial Preservação, sem autorização ou licença da autoridade ambiental competente.
Referente ao ID 2019AWS000026029.</t>
  </si>
  <si>
    <t>DIEGO MARTIN PAES DE BARROS</t>
  </si>
  <si>
    <t>Fazenda Santo Expedito - zona rural do município de Juara/MT.</t>
  </si>
  <si>
    <t>Y9W462MF</t>
  </si>
  <si>
    <t>transportar 55 m3 de madeira serrada de essências diversas sem licença válida para todo o tempo da viagem outorgada pela autoridade competente</t>
  </si>
  <si>
    <t>Núcleo de Conciliação Ambiental/PI</t>
  </si>
  <si>
    <t>José Hélio de Farias Lopes</t>
  </si>
  <si>
    <t>posto PRF PICOS</t>
  </si>
  <si>
    <t>MOWLIM4C</t>
  </si>
  <si>
    <t>__________________Por permitir a condução de veículo em desacordo com os limites e exigências ambientais previstas na legislação. Veículo Volvo de placas QCI-4972, contendo ARLA32 adulterado, mesmo estando o tanque principal na conformidade (coloração azul no teste de Negro de Eriocromo), restou o tanque auxiliar, que contém o maior volume de ARLA 32, o qual é interligado ao tanque principal,  inadequado para consumo (coloração ROSADA no teste de Negro de Eriocromo).</t>
  </si>
  <si>
    <t>Posto da PRF de Sorriso, Br 163 Km 733</t>
  </si>
  <si>
    <t>VINVKWIS</t>
  </si>
  <si>
    <t>Desmatar 5,0 há , a corte raso Floresta nativa ,sem autorização da autoridade competente, no polígono de ID 2019AWS000020812A, de coordenadas geográficas S 08°41'54,2'' W 69°36'44,9'', os vértices do polígono encontra-se Inseridos no mapa com análise temporal de Imagem anexo.</t>
  </si>
  <si>
    <t>Valdecir Toro Martinelli</t>
  </si>
  <si>
    <t>Colônia Cristo Rei, lado esquerdo da BR 364 KM 44, Manoel Urbano/Feijó.</t>
  </si>
  <si>
    <t>MB0VFYAW</t>
  </si>
  <si>
    <t>transportar 76,655 m3 de madeira serrada sem licença válida para todo o tempo da viagem outorgada pela autoridade competente</t>
  </si>
  <si>
    <t>Posto PRF PICOS</t>
  </si>
  <si>
    <t>VJENS5YY</t>
  </si>
  <si>
    <t>Exercer a pesca sem prévio registro ou autorização do órgão ambiental competente, na embarcação Oceano de Deus.</t>
  </si>
  <si>
    <t>Guarapari</t>
  </si>
  <si>
    <t>Denizar Gabriel Pereira</t>
  </si>
  <si>
    <t>Mar de Guarapari</t>
  </si>
  <si>
    <t>0QGSV748</t>
  </si>
  <si>
    <t>________________________Destruir destruir 937, 88 hectares de floresta nativa na região amazônica, objeto de especial preservação, sem autorização prévia do órgão ambiental competente em área definida por polignos com vértices anexos, com centroide 06.28.48,3 s 55.03.04,9 w , ID:DES2019AWS000011157</t>
  </si>
  <si>
    <t>Eli Augusto Lacerda</t>
  </si>
  <si>
    <t>Rodovia BR 163 km 1139 margem direita adentrando 52 km da vicinal Diamantina/Altamira/PA</t>
  </si>
  <si>
    <t>URAKTXSH</t>
  </si>
  <si>
    <t>Ter em depósito 1 peça de carne da fauna silvestre (caititu), sem autorização da autoridade ambiental competente</t>
  </si>
  <si>
    <t>Fagner Oliveira da Silva</t>
  </si>
  <si>
    <t>Ramal Coiti km 22</t>
  </si>
  <si>
    <t>279KEAY4</t>
  </si>
  <si>
    <t>Praticar ato tendente à pesca no Rio Araguaia, portanto petrechos de pesca proibido (redes e tarrafa).</t>
  </si>
  <si>
    <t>Manoel Juventino Rosa</t>
  </si>
  <si>
    <t>Rio Araguaia lago Loca Fraca</t>
  </si>
  <si>
    <t>4FFOL9DG</t>
  </si>
  <si>
    <t>Exercer a pesca de arrasto de camarão a menos de 1000 metros da costa, contrariando o artigo 2 da Portaria Ibama 17/2008.</t>
  </si>
  <si>
    <t>Jorge Cravo da Silva</t>
  </si>
  <si>
    <t>9L6GECUT</t>
  </si>
  <si>
    <t>___________________ Destruir 8,6 hectares de vegetação nativa (Floresta Amazônica) em área de reserva legal, sem autorização do órgão ambiental competente no polígono indicado pela coordenada geográfica central: 69°14'49"W e 10°47'4,7"S.</t>
  </si>
  <si>
    <t>JOÃO FERNANDO DOS SANTOS</t>
  </si>
  <si>
    <t>Colônia Bom Sucesso, BR-317, ramal do Km 71 (Ramal do Alemão), SICAR xxx</t>
  </si>
  <si>
    <t>VMV3DUFB</t>
  </si>
  <si>
    <t>________________ Destruir 20,3 hectares de vegetação nativa (Floresta Amazônica), em área de reserva legal, sem autorização do órgão ambiental competente, nos poligonos indicados pelas coordenadas centrais 69°15'6,9"W e 10°46'48,4"S; 69°14'40,8"W e 10°46'55,3"S; 10°47'1,5"S e 69°14'34,7"W de ID 2019SAR000000040.</t>
  </si>
  <si>
    <t>Fernando Teixeira Germano</t>
  </si>
  <si>
    <t>Colônia Táxi, BR-317, ramal do Km 71 (ramal do Alemão)</t>
  </si>
  <si>
    <t>NTGV2P97</t>
  </si>
  <si>
    <t>...............................Fazer funcionar atividade considerada potencialmente poluidora (transporte interestadual de cargas perigosas - ONU 1689) no veículo baú placa QQT-3255 sem Autorização Ambiental para o Transporte Interestadual de Produtos Perigosos - AATIPP/IBAMA válida.</t>
  </si>
  <si>
    <t>NIQUINI LOGISTICA E ADMINISTRAÇÃO LTDA</t>
  </si>
  <si>
    <t>Posto PRF Sorriso, BR-163, km 733</t>
  </si>
  <si>
    <t>JVQIHSVR</t>
  </si>
  <si>
    <t>Descumprir o embargo determinado pelo Termo de Embargo n° 642647-E correspondente a área de 1.022,068 hectares com atividade de pecuária.</t>
  </si>
  <si>
    <t>RICARDO BARBOSA FROZONI</t>
  </si>
  <si>
    <t>BR 364 Linha 1 km 82</t>
  </si>
  <si>
    <t>ZYUXU3BH</t>
  </si>
  <si>
    <t>Destruir a corte raso e mediante uso de fogo, 727,87 hectares de vegetação nativa, objeto de especial preservação (Amazônia Legal) sem autorização da autoridade ambiental competente.</t>
  </si>
  <si>
    <t>Fazenda Rara, Linha 1, Ramal Coiti km 84</t>
  </si>
  <si>
    <t>UTKCQBSZ</t>
  </si>
  <si>
    <t>desmatar 0,25 hectares de vegetação nativa da mata atlantica em estágio inicial de regeneração, sem autorização do órgão ambiental competente, conforme relatado à fl.68 do documento SEI xxx, processo 02009.001536/2007-72.</t>
  </si>
  <si>
    <t>Cachoeiro de Itapemirim</t>
  </si>
  <si>
    <t>MARBRASA MÁRMORES E GRANITOS DO BRASIL LTDA</t>
  </si>
  <si>
    <t>extracao de minerais no municipio de vila pavão</t>
  </si>
  <si>
    <t>6UIOT13M</t>
  </si>
  <si>
    <t>COFIS_FISc</t>
  </si>
  <si>
    <t>dificultar a ação do poder público na atividade de fiscalização ambiental com a embarcação TUNAS, Inscrição na Marinha do Brasil 341-0038541-0, por não instalar e manter em funcionamento dispositivo de rastreamento PREPS.</t>
  </si>
  <si>
    <t>Gernande Gomes de Souza</t>
  </si>
  <si>
    <t>Canal de Guarapari</t>
  </si>
  <si>
    <t>6, Caput INI 07 2014.</t>
  </si>
  <si>
    <t>S74CUB6T</t>
  </si>
  <si>
    <t>Transportar 16,8168 m³ de madeira beneficiada sem licença outorgada pela autoridade competente.</t>
  </si>
  <si>
    <t>Roterdam Lustosa de Alencar</t>
  </si>
  <si>
    <t>Posto da PRF, BR 316, KM 13</t>
  </si>
  <si>
    <t>45SSHPKB</t>
  </si>
  <si>
    <t>..........................  Ter em deposito produto de origem vegetal lenha, sem licença para o armazenamento.</t>
  </si>
  <si>
    <t>Allaim Fernandes de Lima ME</t>
  </si>
  <si>
    <t>Sítio Riacho dos Cochos SN</t>
  </si>
  <si>
    <t>KXRXMUWE</t>
  </si>
  <si>
    <t>Destruir a corte raso e com uso de fogo 101,35 hectares de vegetação nativa, objeto de especial preservação (Amazônia Legal) sem autorização da autoridade ambiental competente.</t>
  </si>
  <si>
    <t>Fabiano de Oliveira Silva</t>
  </si>
  <si>
    <t>VSQK6TZ0</t>
  </si>
  <si>
    <t>Destruir "21,17ha" de floresta nativa do bioma amazônico obgeto especial de preservação, sem autorização do órgão ambiental competente Conforme carta imagem e o memorial descritivo, com vistoria realizada em loco.</t>
  </si>
  <si>
    <t>Magno Santos Silva</t>
  </si>
  <si>
    <t>Ramal do jequitibá KM 30 Zona Rural Munícipio de Lábrea/AM.</t>
  </si>
  <si>
    <t>ZB5FALS8</t>
  </si>
  <si>
    <t>Destruir 99,39 ha de floresta nativa, objeto de especial preservação, sem autorização da autoridade ambiental competente. Dentro  do Bioma Amazônia legal na Faz Santa Ângela, Área I-AEI-B, referente aos ID 2019AWS000028127 Área 87,52 ha  e ID 2019PRC00000025 Área 11,87 ha</t>
  </si>
  <si>
    <t>Joquim Moacir Piovizan</t>
  </si>
  <si>
    <t>Faz Santa Ângela - Área I-AEI-B</t>
  </si>
  <si>
    <t>S9IMO2EF</t>
  </si>
  <si>
    <t>____________ Cortar três (3) árvores de espécie especialmente protegida (Bertholletia excelsa - castanheira) sem permissão da autoridade competente para fins madeireiros.</t>
  </si>
  <si>
    <t>PATRICIA FARHAT</t>
  </si>
  <si>
    <t>Fazenda Barreiros, BR-317, ramal do Km 71 (Ramal do Alemão), SICAR xxx</t>
  </si>
  <si>
    <t>44 Decreto 6514/2008.</t>
  </si>
  <si>
    <t>C1Q3OIFB</t>
  </si>
  <si>
    <t>Destruir 290,897 há de vegetação nativa, consumado com uso de fogo, na região Amazônica, objeto de especial preservação, sem autorização do órgão ambiental competente, localizada no polígono de coordenadas centrais 09° 56' 09,8" S 57° 57' 31,4" W, de ID 2019OSR000952, conforme mapa com análise temporal de imagens.</t>
  </si>
  <si>
    <t>ADROALDO ROSA SORGATTO</t>
  </si>
  <si>
    <t>Estrada Tapejara km 20 a partir da sede da cidade de Nova Bandeirantes-MT.</t>
  </si>
  <si>
    <t>4AN7ZFU8</t>
  </si>
  <si>
    <t>..................... Destruir 18,98 ha de floresta, objeto de especial preservação, não passíveis de autorização para exploração ou supressão.</t>
  </si>
  <si>
    <t>Bituruna</t>
  </si>
  <si>
    <t>Ricardo de Jesus Macedo</t>
  </si>
  <si>
    <t>Santa Gema</t>
  </si>
  <si>
    <t>49 1º Decreto 6514; 60 II Decreto 6514; 70 1º Lei 9605; 72 Lei 9605; 3º II Decreto 6514; 3º VII Decreto 6514.</t>
  </si>
  <si>
    <t>AW89XZAN</t>
  </si>
  <si>
    <t>Destruir 18,98 ha de floresta, objeto de especial preservação, Bioma Mata Atlantica, não passíveis bde autorização para exploração ou supressão.</t>
  </si>
  <si>
    <t>RICARDO DE JESUS MACEDO</t>
  </si>
  <si>
    <t>Linha Santa Gema</t>
  </si>
  <si>
    <t>51YITM7H</t>
  </si>
  <si>
    <t>Transportar 9,3765 M3 de madeira em toras  de essências diversas, sem licença da autoridade ambiental competente.</t>
  </si>
  <si>
    <t>JOAQUIM LOPES MARTINS</t>
  </si>
  <si>
    <t>Posto da Polícia Rodoviária Federal, BR 316, km 294</t>
  </si>
  <si>
    <t>9BLCZ4J4</t>
  </si>
  <si>
    <t>Transportar 17,5 m3 de madeira serrada sem licença válida para todo o tempo do transporte, outorgada pela autoridade competente.</t>
  </si>
  <si>
    <t>THIAGO ALENCAR SOUZA</t>
  </si>
  <si>
    <t>CAS ESPERA</t>
  </si>
  <si>
    <t>70 § 1 72 II,IV Lei 9605/98; 3º II,IV 47 § 1 Decreto 6514/2008.</t>
  </si>
  <si>
    <t>FRUJ312K</t>
  </si>
  <si>
    <t>FAZER FUNCIONAR ATIVIDADES POTENCIALMENTE POLUIDORAS E UTILIZADORAS DE RECURSOS AMBIENTAL, SEM LICENÇA DOS ÓRGÃOS AMBIENTAIS COMPETENTES</t>
  </si>
  <si>
    <t>Allaim Fernandes de lima ME</t>
  </si>
  <si>
    <t>SÍTIO RIACHO DOS COCHOS SN</t>
  </si>
  <si>
    <t>70 §1 72 Lei 9605/98; 3 2,9 66 §Paragrafo u Decreto 6514/2008.</t>
  </si>
  <si>
    <t>HDVPNZD6</t>
  </si>
  <si>
    <t>________________________Destruir a corte raso, 189,80 hectares de floresta nativa, objetivo de especial preservação, do Bioma Amazônico, consumado pelo uso de fogo, sem licença outorgada pelo órgão ambiental competente, no polígono 2019AWS00013128, de coordenadas centrais 10° 13'32,5"S 68°45'56,4"W, conforme mapa com análise temporal de imagens anexo</t>
  </si>
  <si>
    <t>Uariston Vicente da Silva</t>
  </si>
  <si>
    <t>Sem denominacao, coordenadas acima.</t>
  </si>
  <si>
    <t>98SSR8JO</t>
  </si>
  <si>
    <t>__________________________Destruir 122 hectares de vegetação nativa objeto de especial preservação sem autorização dos órgãos ambientais competentes.</t>
  </si>
  <si>
    <t>Renata Santos Desordi</t>
  </si>
  <si>
    <t>Zona rural de Altamira</t>
  </si>
  <si>
    <t>8BXDMQSQ</t>
  </si>
  <si>
    <t>Pescar 30 kg de peixes diversos com tamanhos e malhas inferiores ao permitido por lei</t>
  </si>
  <si>
    <t>CHARLES DOS SANTOS</t>
  </si>
  <si>
    <t>Nova Iguira margem do Rio São Francisco município de Xique Xique BA.</t>
  </si>
  <si>
    <t>35 I Decreto 6514; 70 1º Lei 9605; 72 Lei 9605; 3º II Decreto 6514; 3º IV Decreto 6514; 3º V Decreto 6514.</t>
  </si>
  <si>
    <t>2 , I,a Portaria 18 Ibama.</t>
  </si>
  <si>
    <t>EPTLZNU3</t>
  </si>
  <si>
    <t>Destruir (desmatar) 91,61 há de floresta nativa em área de especial preservação ( amazônia legal), sem autorização prévia do órgão ambiental competente, conforme carta imagem em anexo.</t>
  </si>
  <si>
    <t>Luiz Roberto dos Reis</t>
  </si>
  <si>
    <t>Coordenadas do Centróide
Lat. 9° 15' 39" S e Long. 65° 34'26" W</t>
  </si>
  <si>
    <t>YR8WFAT7</t>
  </si>
  <si>
    <t>Destruir 10,000 hectares de vegetação secundária de vegetação nativa de mata Atlântica.</t>
  </si>
  <si>
    <t>Ilhéus</t>
  </si>
  <si>
    <t>José de Abreu</t>
  </si>
  <si>
    <t>Praça Visconde de Cairu</t>
  </si>
  <si>
    <t>ILHEUS/UNID_TEC</t>
  </si>
  <si>
    <t>CAM FARFANTE II</t>
  </si>
  <si>
    <t>PRMM7ZIJ</t>
  </si>
  <si>
    <t>Pescar 30 kg de peixes diversos com tamanhos e malhas inferiores ao permitido em desacordo com a legislação vigente.</t>
  </si>
  <si>
    <t>2, I,a Portaria 18 Ibama 
.</t>
  </si>
  <si>
    <t>GPWASF2L</t>
  </si>
  <si>
    <t>____________________Destruir 142 hectares de vegetação nativa em área de objeto especial preservação (Amazoia Brasileira) sem autorização do Órgão ambiental competente nas coordenadas geográficas 06*58'33,15"S 55*20'22,48"W ID 2019ASW000020071</t>
  </si>
  <si>
    <t>Douglas Santos Alves</t>
  </si>
  <si>
    <t>rodovia BR 163 km 185</t>
  </si>
  <si>
    <t>QBXVJWUB</t>
  </si>
  <si>
    <t>Transportar/ter em depósito 4,462 M³ de madeiras em tora da espécie florestal Ipê e 1,571 M³ de madeira serrada das espécies florestais Ipê e Guarita, sem a licença válida para todo o tempo da viagem ou do armazenamento, outorgada pela autoridade competente.</t>
  </si>
  <si>
    <t>ALISON DOS SANTOS GUBERT</t>
  </si>
  <si>
    <t>Serraria do Vidinha</t>
  </si>
  <si>
    <t>9JKYB6G0</t>
  </si>
  <si>
    <t>Pescar 09 kg de peixes diversos mediante utilização de petrechos não permitidos (rede de pesca),  no Rio Araguaia, município de Cocalinho.</t>
  </si>
  <si>
    <t>Dioni Rosa Nunes do Carmo</t>
  </si>
  <si>
    <t>Rio Araguaia, entrada do Lago Rico.</t>
  </si>
  <si>
    <t>B4O1SJ23</t>
  </si>
  <si>
    <t>Rio Bonito</t>
  </si>
  <si>
    <t>Getúlio Pereira Lessa</t>
  </si>
  <si>
    <t>Estrada do Rio Seco Municipio de Rio Bonito RJ CEP 28800000</t>
  </si>
  <si>
    <t>DES MATA VIVA I</t>
  </si>
  <si>
    <t>RL1OM0IZ</t>
  </si>
  <si>
    <t>Fica autuada a Cooperativa de garimpeiros do Oiapoque - Verde Minas no Decreto 6514/08 Art. 66 caput - por Fazer funcionar atividade considerada efetiva ou potencialmente poluidora - atividade garimpeira de extração minério ouro - sem licença ou autorização dos órgãos ambientais competentes, e ainda em Unidade de Conservação Floresta Estadual do Amapá em desacordo com o Plano de Manejo.</t>
  </si>
  <si>
    <t>COOPERATIVA DOS GARIMPEIROS DO OIAPOQUE</t>
  </si>
  <si>
    <t>Rio Cricou - afluente do Rio Oiapoque</t>
  </si>
  <si>
    <t>66 Decreto 6514; 70 1º Lei 9605; 72 Lei 9605; 3º II Decreto 6514; 3º IV Decreto 6514; 3º V Decreto 6514; 3º VII Decreto 6514.</t>
  </si>
  <si>
    <t>Art. 5°, vide Plano de Manejo Lei n° 1028 de 12 de julho de 2006.</t>
  </si>
  <si>
    <t>84HMFI3P</t>
  </si>
  <si>
    <t>Destruir a corte raso, 189,80 hectares de floresta nativa, objetivo de especial preservação, do Bioma Amazônico, consumado pelo uso de fogo, sem licença outorgada pelo órgão ambiental competente, no polígono 2019AWS00013128, de coordenadas centrais 10° 13'32,5"S 68°45'56,4"W, conforme mapa com análise temporal de imagens anexo.</t>
  </si>
  <si>
    <t>70 1° 72 II,VII Lei 9605/98; 3 II,VII 50 § 2 Decreto 6514/2008.</t>
  </si>
  <si>
    <t>BVBY9YOB</t>
  </si>
  <si>
    <t>TRANSPORTAR 22,1375 METROS CÚBICOS DE MADEIRA SERRADA (ASSOALHO, CAIBRO, VIGA, VIGOTA E TÁBUA), SEM LICENÇA VÁLIDA PARA TODO O TEMPO DA VIAGEM (A GF3i NÚMERO 00054 APRESENTADA É FALSA).</t>
  </si>
  <si>
    <t>WALDECYR RODRIGUES BARBOSA</t>
  </si>
  <si>
    <t>POSTO DA POLÍCIA RODOVIÁRIA FEDERAL, BR-153 KM 67,3</t>
  </si>
  <si>
    <t>47 § 1,2,3 Decreto 6514/2008.</t>
  </si>
  <si>
    <t>C26I9ZKO</t>
  </si>
  <si>
    <t>Exercer a pesca na modalidade espinhel de superfície com uso da embarcação Thamara I, Inscrição na Marinha do Brasil n° 341-023361-0, em desacordo com a Autorização obtida pela ausência a bordo de linha espanta aves (tori-line) como determina a INI 07/2014</t>
  </si>
  <si>
    <t>BERNADETE BRAMBILA DARE</t>
  </si>
  <si>
    <t>Trapiche da Colônia Z2</t>
  </si>
  <si>
    <t>15, Caput INI 07 de 2014.</t>
  </si>
  <si>
    <t>UOKHWLRG</t>
  </si>
  <si>
    <t>obstar a ação do poder público no exercício da atividade de fiscalização ambiental por deixar de instalar e manter em funcionamento o dispositivo de rastreamento PREPS na embarcação THAMARA I, número de inscrição na Marinha do Brasil 341-023361-0</t>
  </si>
  <si>
    <t>cais da Colônia z2</t>
  </si>
  <si>
    <t>6, caput INI 07 de 2014.</t>
  </si>
  <si>
    <t>TITI1AT2</t>
  </si>
  <si>
    <t>Destruir 123,928 há de floresta nativa, consumado com uso de fogo, na região Amazônica, objeto de especial preservação no polígono de coordenadas centrais 09° 52' 06,83 S 57° 57' 57,22" W, de ID 2019OSR000953, conforme mapa com análise temporal de imagens.</t>
  </si>
  <si>
    <t>Lígia Raquel Gomes Dosso</t>
  </si>
  <si>
    <t>Estrada Assaí km 30, Fazenda São Sebastião ex Fazenda Estrela Dalva, Zona Rural do município de Nova Bandeirantes.</t>
  </si>
  <si>
    <t>UHNGXS9J</t>
  </si>
  <si>
    <t>Obstar a ação do poder público no exercício de atividade de fiscalização ambiental por deixar de instalar e manter em funcionamento dispositivo de rastreamento PREPS na embarcação THAMARA CRYSTINA número de inscrição na Marinha do Brasil 341-023843-3.</t>
  </si>
  <si>
    <t>Cais da Colônia z2</t>
  </si>
  <si>
    <t>6ORRWTOP</t>
  </si>
  <si>
    <t>UTILIZAR 02 ESPECIMES SILVESTRES (COLEIRO BAIANO ANILHA IBAMA OA 2,2 238337 E TRINCA FERRO ANILHA SISPASS 3,5 ES/A 009045) EM DESACORDO COM A LICENÇA DE CRIADOR AMADORISTA DE PASSERIFORMES. OS REFERIDOS ESPECIMES FORAM APREENDIDOS SOB OS CUIDADOS DE OUTRO CRIADOR, SEM QUALQUER DOCUMENTO QUE ACOBERTASSE TAL OPERAÇÃO</t>
  </si>
  <si>
    <t>JÚLIO CESAR DA COSTA</t>
  </si>
  <si>
    <t>SISP DELIVERY X</t>
  </si>
  <si>
    <t>24 3º III Decreto 6514; 70 1º Lei 9605; 72 Lei 9605; 3º II Decreto 6514; 3º IX Decreto 6514.</t>
  </si>
  <si>
    <t>DESTRUIR 82,20 HECTARES DE FLORESTA NATIVA, BIOMA AMAZONICO, OBJETO DE ESPECIAL PRESERVAÇAO, SEM AUTORIZAÇÃO DA AUTORIDADE AMBIENTAL COMPETENTE.</t>
  </si>
  <si>
    <t>HERMÍNIO ALVES DA SILVA</t>
  </si>
  <si>
    <t>ESTRADA DO CAJU - SENTIDO VILA NOVA</t>
  </si>
  <si>
    <t>JIA/GEREX</t>
  </si>
  <si>
    <t>70 1° 72 II/VII Lei 9605/98; 3 II/VII 50 2° Decreto 6514/2008; 225 4° Constituição Federal 1988.</t>
  </si>
  <si>
    <t>ZE16ETA3</t>
  </si>
  <si>
    <t>cortar árvore cuja espécie e protegida, sem autorização/perdição, Castanheira, Bertholettia excelsa.</t>
  </si>
  <si>
    <t>C. M. KOEHLER INDUSTRIA COMERCIO E TRANSPORTES</t>
  </si>
  <si>
    <t>Estrada do Xingu, s/ número, Madeireira</t>
  </si>
  <si>
    <t>FZXENEYS</t>
  </si>
  <si>
    <t>Descumprir embargo de atividade com a criação de bovinos em área desmatada, conforme descrito no AIE n° 9054047-E e TEE n° 637241-E</t>
  </si>
  <si>
    <t>José Carlos Bronca</t>
  </si>
  <si>
    <t>Ramal Jequitibá, Km 38, Sul de Lábrea - Amazonas</t>
  </si>
  <si>
    <t>79 Decreto 6514.</t>
  </si>
  <si>
    <t>K90Y195I</t>
  </si>
  <si>
    <t>Descumprir embargo com a criação de bovinos em área autuada e embargada através do AIE n° 9054047-E e TEE n° 637241-E, datado de 06/09/14</t>
  </si>
  <si>
    <t>JOSE CARLOS BRONCA</t>
  </si>
  <si>
    <t>Ramal Jequitibá, Km 38, Sul de Lábrea</t>
  </si>
  <si>
    <t>IX2R566H</t>
  </si>
  <si>
    <t>Utilizar área de desmatamento embargada através do AIEn° 9054047-E e do TEE n° 637241-E, em 06/09/14, para criação de bovinos</t>
  </si>
  <si>
    <t>Ramal Jequitibá, Km 18, Sul de Lábrea Amazonas</t>
  </si>
  <si>
    <t>466TREJ0</t>
  </si>
  <si>
    <t>ter em deposito 37,476 metros cúbicos de madeira em toras sem licença da autoridade ambiental competente.</t>
  </si>
  <si>
    <t>CRUVINEL E RODRIGUES LTDA</t>
  </si>
  <si>
    <t>VILA Taboca.</t>
  </si>
  <si>
    <t>2T5TLYE9</t>
  </si>
  <si>
    <t>Desmatar 1.343,71 hectares de floresta amazônica, objeto de especial preservação, sem autorização do órgão ambiental competente, conforme mapa de coordenadas geografia anexa.</t>
  </si>
  <si>
    <t>ramal Jequitibá, km 38 - sul de labrea - Am</t>
  </si>
  <si>
    <t>51 Decreto 6514; 70 1º Lei 9605; 72 Lei 9605; 3º II Decreto 6514; 3º IV Decreto 6514; 3º VII Decreto 6514.</t>
  </si>
  <si>
    <t>VNKLH963</t>
  </si>
  <si>
    <t>Deixar de apresentar o Relatório anual de atividades potencialmente poluidoras e utilizadora de recursos ambientais-RAPP, no prazo estabelecido no primeiro parágrafo do artigo 17-C, da Lei 6938/81, referente aos anos de 2014 a 2019.</t>
  </si>
  <si>
    <t>Calçoene</t>
  </si>
  <si>
    <t>CRIATIVAS LTDA - EPP</t>
  </si>
  <si>
    <t>Rua Cônego Domingos Maltez, 146 - centro</t>
  </si>
  <si>
    <t>8MYXI1EG</t>
  </si>
  <si>
    <t>Deixar de apresentar o Relatório anual de atividades potencialmente poluidoras e utilizadora de recursos ambientais-RAPP, no prazo estabelecido no primeiro parágrafo do artigo 17-C da Lei 6.938/81, referente aos anos de 2014 a 2019.</t>
  </si>
  <si>
    <t>Comercial Calçoene Ltda-EPP</t>
  </si>
  <si>
    <t>Rua Cônego Domingos Maltez, 08 - Centro - Município de Calçoene-AP.</t>
  </si>
  <si>
    <t>3HAHDFUZ</t>
  </si>
  <si>
    <t>Pescar mediante utilização de petrechos não permitidos (rede de pesca), sendo 09 kilos de pescado diversos, no Rio Araguaia município de Cocalinho/MT.</t>
  </si>
  <si>
    <t>Dione Rosa Nunes do Carmo</t>
  </si>
  <si>
    <t>Rio Araguaia entrada Lago Rico.</t>
  </si>
  <si>
    <t>YVNC0KBV</t>
  </si>
  <si>
    <t>Fazer funcionar atividade utilizadora de recursos ambientais sem a licença do Órgão Ambiental competente</t>
  </si>
  <si>
    <t>JOSE SIDNEY LIMA DE GOIS</t>
  </si>
  <si>
    <t>Pátio da serraria, Vila da Taboca</t>
  </si>
  <si>
    <t>QYP08HIR</t>
  </si>
  <si>
    <t>Ter em depósito 133,86 metros cúbicos de madeira sem licença válida outorgada pela autoridade competente</t>
  </si>
  <si>
    <t>José Sidney Lima de Gois</t>
  </si>
  <si>
    <t>Vila da Taboca</t>
  </si>
  <si>
    <t>FB1HHKQN</t>
  </si>
  <si>
    <t>Descumprir embargo de atividade nas áreas indicadas nos Termos de Embargo 7274-C, 7375-C e 817082-C.</t>
  </si>
  <si>
    <t>IB3 AGRO ADMINISTRACAO DE ATIVOS LTDA.</t>
  </si>
  <si>
    <t>UE73UVL7</t>
  </si>
  <si>
    <t>Destruir com uso de fogo 89,35 hectares de vegetação objeto de especial preservação (Arnazônia legal), sem autorização da autoridade ambiental competente. ID 2249.</t>
  </si>
  <si>
    <t>Rurópolis</t>
  </si>
  <si>
    <t>MANOEL BARROS CAVALCANTE</t>
  </si>
  <si>
    <t>zona rural de Rurópolis-PA</t>
  </si>
  <si>
    <t>B1PG6WN0</t>
  </si>
  <si>
    <t>Ter em depósito 75,86 m³ de madeira sem licença da autoridade competente.</t>
  </si>
  <si>
    <t>Davi Cesar Cardoso de Oliveira</t>
  </si>
  <si>
    <t>Distrito de Tabocas - São Felix do Xingu.</t>
  </si>
  <si>
    <t>GCDA BASE 36</t>
  </si>
  <si>
    <t>69M6Z2BU</t>
  </si>
  <si>
    <t>Dematar 341,74 hectares de floresta amazônica, objeto de especial preservação, sem autorização do ambiental competente, ID anexo.</t>
  </si>
  <si>
    <t>Elder Carlos Martelli</t>
  </si>
  <si>
    <t>fazenda Cachoeira, município de labrea am</t>
  </si>
  <si>
    <t>NMJR7E44</t>
  </si>
  <si>
    <t>____________________Destruir 10,70 hectares de floresta nativa, em área de Reserva Legal, sem autorização do órgão ambiental competentes na área do polígono de coordenada geográfica central S 10°32'383'' E 68°44,07,5'', parte do polígono de ID2019AWS0000486, conforme mapa com análise temporal de imagens anexo ao Processo.</t>
  </si>
  <si>
    <t>Xapuri</t>
  </si>
  <si>
    <t>Raimundo Carlos Alberto</t>
  </si>
  <si>
    <t>Colônia Bela Vista, ramal da linha 5, Km 47, PA TUPÁ</t>
  </si>
  <si>
    <t>G4P5WT0N</t>
  </si>
  <si>
    <t>____________________ Destruir 90,2 hectares de vegetação nativa (Floresta Amazônica) em área de reserva legal, de domínio privado, sem autorização prévia do órgão ambiental competente, no polígono de coordenada geográfica central: latitude 10°21'25,73"S e longitude 67°38'43,3"W, no ID 2015AWS000049682.</t>
  </si>
  <si>
    <t>Senador Guiomard</t>
  </si>
  <si>
    <t>MARCOS CARVALHO COSTA JUNIOR</t>
  </si>
  <si>
    <t>Fazenda Irapuan, BR 317, km 33</t>
  </si>
  <si>
    <t>7Y8BP03P</t>
  </si>
  <si>
    <t>Destruir floresta, objeto de especial preservação (Amazônia Legal), sem autorização ou licença da autoridade ambiental competente.</t>
  </si>
  <si>
    <t>Alan Fernandes Oliveira</t>
  </si>
  <si>
    <t>Sítio Fernandes, Gleba Curuquetê.</t>
  </si>
  <si>
    <t>TAXJJDIF</t>
  </si>
  <si>
    <t>Portar 2 (duas) motosserras, sem licença da autoridade competente.</t>
  </si>
  <si>
    <t>imóvel rural localizado no município de labrea-Am</t>
  </si>
  <si>
    <t>5IUZ99Y2</t>
  </si>
  <si>
    <t>Destruir (supressão) de 15,10 hectares de fragmento de vegetação de BIOMA MATA ATLÂNTICA (vegetação secundária em estágio inicial de regeneração), considerada de OBJETO ESPECIAL PRESERVAÇÃO, sem licença da autoridade ambiental competente.
OBS: Este Auto de Infração, substitui o A.I. n°9186678 / E, conforme Decisão de 1° Instância não Homologatória n° xxx.</t>
  </si>
  <si>
    <t>Larangeira Mendes S.A</t>
  </si>
  <si>
    <t>Fazenda Santa Virgínia</t>
  </si>
  <si>
    <t>WF8BP5LF</t>
  </si>
  <si>
    <t>Destruir 49,68 há de vegetação nativa, na Amazônia legal, objeto de especial preservação, no polígono de coordenadas centrais 09° 14' 36,63" S 57° 33' 19,14" W, de ID 2019OSR000976, sem licença da autoridade ambiental competente, conforme mapa com análise temporal de imagens.</t>
  </si>
  <si>
    <t>JOSE DOMINGOS BERNARDI</t>
  </si>
  <si>
    <t>Estrada Maracatiara km 55 esquina com a estrada dos peruanos.</t>
  </si>
  <si>
    <t>W8WFJS54</t>
  </si>
  <si>
    <t>____________________Destruir 236,53 hectares de vegetação nativa em área de objeto de especial preservação,Amazônia brasileira, sem autorização do Órgão Ambiental competente no ID 2019AWS 00015828 nas coordenadas 06°27'49" S 54°59'27" W</t>
  </si>
  <si>
    <t>MARCOS DA COSTA LOPES</t>
  </si>
  <si>
    <t>Fazenda Agropecuária São José Margem direita da BR 63 Km 1140 Zona Rural de Altamira</t>
  </si>
  <si>
    <t>V3UZBGJX</t>
  </si>
  <si>
    <t>Transportar 164 espécimes da fauna silvestre nativa constantes do Anexo II da Cites, sendo 161 papagaios (Amazona sp.) e 3 araras canindé (Ara araruna), sem a devida licença do órgão ambiental competente.</t>
  </si>
  <si>
    <t>Sede da PF em BH</t>
  </si>
  <si>
    <t>AA7KT1N8</t>
  </si>
  <si>
    <t>Destruir 37,549 há de floresta nativa na região Amazônica, objeto de especial preservação, sem licença da autoridade ambiental competente, no polígono de cordenadas centrais 09° 49' 54,5" S 57° 52' 32,09 W, de ID 2019OSR000955, conforme mapa com análise temporal de imagens.</t>
  </si>
  <si>
    <t>Augusto Zasalon Carnicer</t>
  </si>
  <si>
    <t>Estrada Indianópolis a 08 kms da cidade de Nova Bandeirantes, Sítio 02 irmãos.</t>
  </si>
  <si>
    <t>3TYAEINB</t>
  </si>
  <si>
    <t>Destruir 9,00 hectares de de vegetação nativa, em área de reserva legal, polígono de coordenada geográfica central S 10°32'29,5'' W 68°44'186'', parte do ID 2019WS000030486, conforme análise temporal de imagens anexo ao Processo.</t>
  </si>
  <si>
    <t>Erivaldo de Sousa</t>
  </si>
  <si>
    <t>Colônia Água Limpa ramal da linha 5, Km 46, PA Tupá</t>
  </si>
  <si>
    <t>HZY0JO97</t>
  </si>
  <si>
    <t>.................... Omitir informações no sistema oficial de controle em relação aos residuos sólidos gerador, período de 2014 a 2018.</t>
  </si>
  <si>
    <t>Vertente do Lério</t>
  </si>
  <si>
    <t>CALCARIO RENOVA TERRA LTDA</t>
  </si>
  <si>
    <t>R. Antônio Pessoa SN Centro</t>
  </si>
  <si>
    <t>3OTJT3RQ</t>
  </si>
  <si>
    <t>______________________Destruir 1.542,44 hectares de floresta nativa na região amazônica, objeto de especial preservação, sem autorização prévia do órgão ambiental competente em área definida por polignos  com vértices anexos, com centroide 06.28.38.6 s 55.03.27.4 w</t>
  </si>
  <si>
    <t>Rodovia BR 163 km 1139 margem direita adentrando 52 km da vicinal Diamantina - Altamira-PA</t>
  </si>
  <si>
    <t>0TIGVDVS</t>
  </si>
  <si>
    <t>____________________, Destruir 9,00 hectares de floresta nativa no Bioma Amazônico, objeto de especial preservação sem licença concedida pelo órgão ambiental competente, no polígono de coordenada central De 10°32'29,5'' S 68°44'18,6'' W, parte do ID2019AWS000030486, conforme análise temporal de imagens anexo ao Processo.</t>
  </si>
  <si>
    <t>Erivaldo de Souza</t>
  </si>
  <si>
    <t>Colônia Água Limpa, ramal da linha 5 Km 46, PA Tupá</t>
  </si>
  <si>
    <t>7G5GJFF9</t>
  </si>
  <si>
    <t>Ter em depósito 47,977 metros cúbicos de madeira serrada de espécies nativas sem Documento de Origem Florestal - DOF, conforme planilhas anexas.</t>
  </si>
  <si>
    <t>INDUSTRIA MADEIREIRA XINGU LTDA ME</t>
  </si>
  <si>
    <t>Madeireira Xingu</t>
  </si>
  <si>
    <t>SER ORIGEM III</t>
  </si>
  <si>
    <t>CZ511M4H</t>
  </si>
  <si>
    <t>Fazer funcionar indústria madeireira/serraria, utilizadora de recursos ambientais, considerada efetivamente poluidora, sem licença do órgão ambiental competente junto ao sistema DOF.</t>
  </si>
  <si>
    <t>Rodovia BR 174, s/n, km 428</t>
  </si>
  <si>
    <t>66 Decreto 6514; 70 1º Lei 9605; 72 Lei 9605; 3º II Decreto 6514; 3º IV Decreto 6514; 3º IX Decreto 6514.</t>
  </si>
  <si>
    <t>BMF3TS19</t>
  </si>
  <si>
    <t>Transportar produto (artefato indígena) oriundo de fauna silvestre (com garra gavião) sem autorização da autoridade ambiental competente.</t>
  </si>
  <si>
    <t>Priscilla Karen da Silva</t>
  </si>
  <si>
    <t>Aeroporto Internacional de Guarulhos</t>
  </si>
  <si>
    <t>24 3º Decreto 6514; 70 1º Lei 9605; 72 Lei 9605; 3º II Decreto 6514; 3º IV Decreto 6514.</t>
  </si>
  <si>
    <t>8qttmz5b</t>
  </si>
  <si>
    <t>Expor a venda 58 espécimes de órquideas nativos extraídos da flora brasileira sem autorização da autoridade ambiental competente.</t>
  </si>
  <si>
    <t>Edinaldo Batista de Barros</t>
  </si>
  <si>
    <t>Rua dos Palmares - Santo Amaro RECIFE- PE</t>
  </si>
  <si>
    <t>70  § 1° Lei 9605/98; 72 2 Lei 9605/98; 3 Decreto 6514/2008.</t>
  </si>
  <si>
    <t>3PB8NI4J</t>
  </si>
  <si>
    <t>Deixar de atender a exigências legais ou regulamentares quando devidamente notificado pela autoridade ambiental competente no prazo concedido, visando a regularização, correção ou adoção de medidas de controle para acessar a degradação ambiental - não atendimento da notificação contida no ofício nº xxx</t>
  </si>
  <si>
    <t>Indaiatuba</t>
  </si>
  <si>
    <t>Bun Tech</t>
  </si>
  <si>
    <t>7UWKXCL6</t>
  </si>
  <si>
    <t>Expor a venda 130 espécimes de órquideas no extraídas da natureza sem autorização da autoridade ambiental competente.</t>
  </si>
  <si>
    <t>Camaragibe</t>
  </si>
  <si>
    <t>JOSÉ BERTO SILVA</t>
  </si>
  <si>
    <t>Rua dos Palmares - Recife</t>
  </si>
  <si>
    <t>CATTLEYA</t>
  </si>
  <si>
    <t>P7OZF3AC</t>
  </si>
  <si>
    <t>....................... Expor a venda 241 espécime de Orquídeas Nativas extraídas da Natureza sem Autorização da Autoridade Ambiental Competente.</t>
  </si>
  <si>
    <t>Rubens Antonio da Fonseca</t>
  </si>
  <si>
    <t>Rua dos Palmares em frente a Farmácia do Trabalhador Santo Amaro</t>
  </si>
  <si>
    <t>5S42B96E</t>
  </si>
  <si>
    <t>________________ Destruir 165,10 hectares de floresta nativa na região amazônica, objeto de especial preservação, sem autorização prévia do órgão ambiental competente, em área definida por poligno com vértices 
anexos com centróide 06°26'07.87" s 55°05'18.80" w.</t>
  </si>
  <si>
    <t>JUCELINO CARVALHO DA SILVA</t>
  </si>
  <si>
    <t>Fazenda Santo Espefitol Margem direita da BR 163 km 1140 a 57 km da vicinal Diamantina - Altamira-PA</t>
  </si>
  <si>
    <t>GKYYYRRZ</t>
  </si>
  <si>
    <t>__________________________ Destruir 239,29 hectares de vegetação nativa em área de objeto de especial preservação (Amazônia brasileira) sem autorização do órgão ambiental competente. ID2019AWS000011133, nas coordenadas indicadas e anexadas ao processo.</t>
  </si>
  <si>
    <t>ANTONIO CARLOS RODRIGUES DE OLIVEIRA</t>
  </si>
  <si>
    <t>Fazenda Açaí, km 1185 da BR163</t>
  </si>
  <si>
    <t>4OVI5I83</t>
  </si>
  <si>
    <t>Adquirir produto de origem animal, 72 bovinos, produzindo sobre área objeto de embargo.</t>
  </si>
  <si>
    <t>I G DE PAULA EIRELI ME</t>
  </si>
  <si>
    <t>Frigorífico Independência</t>
  </si>
  <si>
    <t>ZT1283TS</t>
  </si>
  <si>
    <t>Destruir 185,25 hectares de floresta nativa, objeto de especial preservação, sem autorização da autoridade ambiental em área definida por polígono com vértices anexos, com centroide 06°32'12,93"S 55°16'48,17"W.</t>
  </si>
  <si>
    <t>ANDERSON CESAR MISSIO</t>
  </si>
  <si>
    <t>Rodovia BR163, Km 1140, Vicinal Dia, s/n°.</t>
  </si>
  <si>
    <t>WJA3OPLP</t>
  </si>
  <si>
    <t>Desmatar 59 ha de floresta nativa (ID DETER 121065) em área de reserva legal sem autorização prévia do órgão ambiental competente.</t>
  </si>
  <si>
    <t>Demésio Souza da Luz</t>
  </si>
  <si>
    <t>Rodovia BR 230, km 107 sentido Apuí/Sucunduri</t>
  </si>
  <si>
    <t>MKZ71CR3</t>
  </si>
  <si>
    <t>Fazer funcionar atividades potencialmente poluidoras (transporte interestadual de cargas perigosas, ONU 1202), nos veículos placas: EKH0544, ESU8742, ESU8743, sem AUTORIZAÇÃO AMBIENTAL PARA O TRASPORTE INTERESTADUAL DE PRODUTOS PERIGOSOS/IBAMA válida.</t>
  </si>
  <si>
    <t>A .L. RIBEIRO - ME</t>
  </si>
  <si>
    <t>Posto da Polícia Rodoviária Federal em Alto Garças MT</t>
  </si>
  <si>
    <t>BC2CBJXZ</t>
  </si>
  <si>
    <t>Fazer funcionar atividades potencialmente poluidoras (Transporte Interestadual de Produtos Perigosos ONU 1170), nos veículos placas: QPQ1072, PXL3436, PXL3438 sem AUTORIZAÇÃO AMBIENTAL PARA O TRASPORTE INTERESTADUAL DE PRODUTOS PERIGOSOS/ IBAMA válida.</t>
  </si>
  <si>
    <t>TRANSPEDROSA S/A</t>
  </si>
  <si>
    <t>Polícia Rodoviária Federal em Alto Garças MT</t>
  </si>
  <si>
    <t>DC0IZIJJ</t>
  </si>
  <si>
    <t>TER EM CATIVEIRO 07 (SETE) ESPÉCIMES NATIVOS DA FAUNA SILVESTRE (JACARÉ-TINGA), DE NOME CIENTÍFICO "CAIMAN CROCODILUS", SEM A DEVIDA LICENÇA DA AUTORIDADE AMBIENTAL COMPETENTE.</t>
  </si>
  <si>
    <t>MICHEL IZAR FILHO</t>
  </si>
  <si>
    <t>Avenida Liberdade, Jardim Morada do Sol - Imperatriz-MA</t>
  </si>
  <si>
    <t>X2WUUJRM</t>
  </si>
  <si>
    <t>Lançar óleos ou substâncias oleosas (318 litros de fluido sintético no mar, em desacordo com as exigências estabelecidas em leis ou atos normativos.</t>
  </si>
  <si>
    <t>BP ENERGY DO BRASIL LTDA</t>
  </si>
  <si>
    <t>O67OG675</t>
  </si>
  <si>
    <t>Adquirir 19 bovinos produzido sobre área objeto de embargo.</t>
  </si>
  <si>
    <t>FRIGOL S.A.</t>
  </si>
  <si>
    <t>FRIGOL de São Félix do Xingu</t>
  </si>
  <si>
    <t>SGNLT45X</t>
  </si>
  <si>
    <t>Efetuar, a Plataforma de Pampo 1 com suas instalações de apoio o descarte continuo de água de processo ou de produção em desacordo com a regulamentação ambiental específica: Resolução CONAMA 393/2007, efetuando o descarte de água de produção diária no valor de 45 mg/l, 11/09/2017, Comunicado Inicial de Incidente n. 1706/000104</t>
  </si>
  <si>
    <t>23 Lei 9966; 70 1º Lei 9605; 72 Lei 9605; 3º II Decreto 6514.</t>
  </si>
  <si>
    <t>38, . Decreto 4136/2000.</t>
  </si>
  <si>
    <t>BAJSMY5V</t>
  </si>
  <si>
    <t>Ter em depósito 3,9764 metros cúbicos de madeira, sendo 3,6993 m3 de quarubana em toras e 0,2771 metros cúbicos de Amapá serrado, sem licença do órgão ambiental competente. Autuação baseada no Parecer técnico SEI n xxx, processo 02048.001359/2019-00</t>
  </si>
  <si>
    <t>Madeireira Rancho da Cabocla LTDA</t>
  </si>
  <si>
    <t>Pátio da empresa</t>
  </si>
  <si>
    <t>STM/NUIP</t>
  </si>
  <si>
    <t>LLGF4MHT</t>
  </si>
  <si>
    <t>Destruir 48,278 hectares de vegetação nativa objetos de espacial preservação (floresta amazônica) sem autorização do órgão ambiental competente na Fazenda Ouro Fino nas coordenadas 06*56'54'23"S 55*10'26,55"W ID 2019AWS0006859</t>
  </si>
  <si>
    <t>OTOMAR APARECIDO NUNES</t>
  </si>
  <si>
    <t>Fazenda Ouro Fino Zona Rural Altamira-PA</t>
  </si>
  <si>
    <t>530B32LT</t>
  </si>
  <si>
    <t>Destruir 148,57 hectares de vegetação nativa objeto de especial preservação ( floresta amazônica ) sem autorização do órgão ambiental competente. Nas coordenadas 6°56'9,49''S 55*12'42,46''W na fazenda denominada ARK  ID 2019AWS0006861</t>
  </si>
  <si>
    <t>JOSE EDSON DA SILVA</t>
  </si>
  <si>
    <t>Fazenda ARK Zona Rural Altamira-PA</t>
  </si>
  <si>
    <t>VJD1IRT8</t>
  </si>
  <si>
    <t>Receber para fins comerciais, 2,40 metros cúbicos de madeiras serrada, sem licença ou autorização do órgão ambiental competente.</t>
  </si>
  <si>
    <t>Quipapá</t>
  </si>
  <si>
    <t>Carlos Antônio Couto da Silva</t>
  </si>
  <si>
    <t>ConstruForte - Rua Presidente Getúlio Vargas, 460 - Centro - Quipapá</t>
  </si>
  <si>
    <t>BFI0IUSX</t>
  </si>
  <si>
    <t>Deixar de atender exigências legais ou regulamentares quando devidamente notificado, através da Notificação n. 575305 no prazo concedido. Referente ao processo n. 02022.001750/2013-34</t>
  </si>
  <si>
    <t>CELSO FERREIRA BRANDAO</t>
  </si>
  <si>
    <t>Rua Aratimbo 196 Cosmos RJ CEP 23061020 Rio de Janeiro</t>
  </si>
  <si>
    <t>AME BOTO ROTINA II</t>
  </si>
  <si>
    <t>9I5KLD0J</t>
  </si>
  <si>
    <t>Permitir condução de veículo  (Volvo FH 540, placas NUC3293) automotor em desacordo com os limites e exigências ambientais previstos na legislação (sistema de SCR com falhas)</t>
  </si>
  <si>
    <t>Rondonópolis</t>
  </si>
  <si>
    <t>Trevo combustíveis e lubrificantes Ltda</t>
  </si>
  <si>
    <t>Posto Policia Rodoviária Federal km 211</t>
  </si>
  <si>
    <t>SJLAGKV4</t>
  </si>
  <si>
    <t>Danificar 1,1 ha em área de preservação permanente, com plantio de capim e instalação de cercas, às margens da Lagoa de  Ipueiras,sem autorização do órgão ambiental competente.</t>
  </si>
  <si>
    <t>Dailson Ribeiro Matutino</t>
  </si>
  <si>
    <t>Ponta da ilha, lagoa de Ipueira, Xique-Xique/BA</t>
  </si>
  <si>
    <t>DWORLZQR</t>
  </si>
  <si>
    <t>Fazer funcionar atividade potencialmente poluidora (transporte interestadual de cargas perigosas, ONU1170)  nos veículos de placas NUC3293, QBW2855 e QBW3025, sem Autorização Ambiental para o Transporte Interestadual de Produtos Perigosos válida.</t>
  </si>
  <si>
    <t>Trevo Transportes e Logística Ltda</t>
  </si>
  <si>
    <t>Rodovia BR 364 km 211; Posto PRF 201</t>
  </si>
  <si>
    <t>D4R3SU5V</t>
  </si>
  <si>
    <t>..............................................Exercer pesca no dia 22/06/2019, nas coordenadas geográficas 27°27'49"S e 48°22'33"E, com a embarcação OSSO DE BALEIA, a menos de 1 milha náutica da costa e utilizando petrechos proibidos (emalhe anilhados) para o local.</t>
  </si>
  <si>
    <t>Paulo José Francisco</t>
  </si>
  <si>
    <t>costa da praia do Santino</t>
  </si>
  <si>
    <t>65LNTCEW</t>
  </si>
  <si>
    <t>impedir a regeneração natural de florestas em área cuja recuperação foi indicada pela autoridade ambiental competente, através do Termo de Embargo n° 638279/C, datado de 17/04/2012.</t>
  </si>
  <si>
    <t>Laércio Faeda</t>
  </si>
  <si>
    <t>Fazenda Bossa Nova - zona rural do Município de Brasnorte/MT</t>
  </si>
  <si>
    <t>48 1º Decreto 6514; 48 Decreto 6514; 70 1º Lei 9605; 72 Lei 9605; 3º II Decreto 6514; 3º VII Decreto 6514.</t>
  </si>
  <si>
    <t>EC90JERT</t>
  </si>
  <si>
    <t>Transportar produto perigoso (Mercúrio), nocivo a saúde humana e ao meio ambiente, em desacordo com as exigências estabelecidas em leis ou em seus regulamentos.</t>
  </si>
  <si>
    <t>ESTACIO GONCALVES DE ARAUJO</t>
  </si>
  <si>
    <t>Posto de Fiscalização da Polícia Rodoviária Federal, BR 174, KM 984, sentido Boa Vista/RR-Manaus/AM.</t>
  </si>
  <si>
    <t>PB7W8ZYY</t>
  </si>
  <si>
    <t>Impedir ou dificultar a regeneração natural de florestas ou demais formas de vegetação nativa que tenha sido indicada pela autoridade ambiente competente. Conforme termo de embargo número 589187-E de 13/05/2013 em uma área de 174,43 hectares.</t>
  </si>
  <si>
    <t>Fazenda Bossa Nova - zona rural do Município de Brasnorte.</t>
  </si>
  <si>
    <t>48°, Parágrafo único Decreto 6.514/2008..</t>
  </si>
  <si>
    <t>7TUMPH84</t>
  </si>
  <si>
    <t>Destruir, 25,08 hectares de florestas de vegetação nativa, objeto de especial preservação (Amazônia Brasileira), consumado mediante uso de fogo, sem autorização da autoridade ambiental competente.</t>
  </si>
  <si>
    <t>RAULINO JOSÉ DOS SANTOS</t>
  </si>
  <si>
    <t>Linha 01, km 54</t>
  </si>
  <si>
    <t>VVPZYSNF</t>
  </si>
  <si>
    <t>Rua Afonso Abati, n 27 - Bairro do Salto - CEP 89.595-000 - SALTO VELOSO - SC</t>
  </si>
  <si>
    <t>ADX7F7IM</t>
  </si>
  <si>
    <t>Deixar de manter registro de acervo faunístico e movimentação de plantel e sistema informatizado de controle de fauna SisPass.</t>
  </si>
  <si>
    <t>Residencia do criador amador de Passeriformes.</t>
  </si>
  <si>
    <t>YIJWH2P7</t>
  </si>
  <si>
    <t>Descumprir embargo na Fazenda Bossa Nova em uma área de 174,43 hectares conforme termo de embargo número 589187-E  em 13/05/2013, a qual está sendo utilizada com pastagens (capim) e criação de bovinos.</t>
  </si>
  <si>
    <t>Laércio Feada</t>
  </si>
  <si>
    <t>Fazenda Bossa Nova - zona rural - Município de Brasnorte - MT.</t>
  </si>
  <si>
    <t>WPGXQQAD</t>
  </si>
  <si>
    <t>Comercializar produto perigoso ( ONU 1170) em desacordo com a legislação vigente (sem lançar no documento fiscal DANFE n° 3044 Série 1 as informações sobre nome e número apropriado para embarque, classe de risco e declaração assinada pelo expedidor de que o produto está adequadamente acondicionado). Transporte nos veículos-tanque placas OOC-6215 e OOD-0415.</t>
  </si>
  <si>
    <t>INPASA Agroindustrial S/A</t>
  </si>
  <si>
    <t>Posto PRF, rodovia BR-364, km 211</t>
  </si>
  <si>
    <t>BFGBY4PU</t>
  </si>
  <si>
    <t>Pescar no dia 22/06/2019 com a embarcação OSSO DE BALEIA a menos de 1 milha náutica da costa utilizando petrecho proibidos (emalhe anilhado) para o local.</t>
  </si>
  <si>
    <t>Praia do Santino, Florianópolis-SC</t>
  </si>
  <si>
    <t>8S6TL4YP</t>
  </si>
  <si>
    <t>Transportar onze (11) espécimes da fauna silvestre (canários da terra) sem a devida autorização da autoridade competente.</t>
  </si>
  <si>
    <t>Uberlândia</t>
  </si>
  <si>
    <t>Clodoaldo Cassaro</t>
  </si>
  <si>
    <t>Posto da Polícia Rodoviária Federal em Uberlândia, BR 365</t>
  </si>
  <si>
    <t>ROTINA UBERLANDIA</t>
  </si>
  <si>
    <t>9BQW84QE</t>
  </si>
  <si>
    <t>Destruir  44,48 hectates de Floresta Nativa, do Bioma Cerrado, em Area de Reserva Legal na Fazenda Bossa Nova, sem Autorização  do Órgão Ambiente Competente.</t>
  </si>
  <si>
    <t>Laercio Faeda</t>
  </si>
  <si>
    <t>ID: 2019PRC000000021-Fazenda Bossa Nova  zona rural município de Brasnorte-MT</t>
  </si>
  <si>
    <t>XR08ZG90</t>
  </si>
  <si>
    <t>Praticar maus tratos a 11 animais silvestres -canários da terra.</t>
  </si>
  <si>
    <t>Posto da Polícia Rodoviária Federal em Uberlândia</t>
  </si>
  <si>
    <t>XOZYEAXD</t>
  </si>
  <si>
    <t>Descumprir o termo de embargo n 323127-C, na Fazenda São Gabriel.</t>
  </si>
  <si>
    <t>Alto Araguaia</t>
  </si>
  <si>
    <t>OSMAR BRUNO RIBEIRO</t>
  </si>
  <si>
    <t>Fazenda São Gabriel</t>
  </si>
  <si>
    <t>QPPIZ3WK</t>
  </si>
  <si>
    <t>""""""""""""""""""""""""""Manter em cativeiro pássaros da fauna silvestre brasileira, em desacordo com a licença obitida no IBAMA, no total de 16 pássaros trinca-ferro, sendo: 15 pássaros do plantel do criador e 01 pássaro trinca-ferro anilha IBAMA OA 3,5 542874, fora do plantel do criador, encontrado na residência do criador com anilha FALSA. O pássaro de anilha falsa foi retirado do local pelo Termo de Apreensão 794012-E no ato da fiscalização. Processo SEI 02022.105073/2017-11.</t>
  </si>
  <si>
    <t>EDIMILSON DA SILVA LIMA</t>
  </si>
  <si>
    <t>Rua Armando Coelho Machado, 12, fundos, Bela Vista, Itaocara, Rj.</t>
  </si>
  <si>
    <t>04OIM14K</t>
  </si>
  <si>
    <t>Destruir 739,265 hectares de Floresta Nativa, objeto de especial preservação, Floresta Amazônica, dentro da Terra Indígena Cachoeira Seca, não passível de autorização para supressão, infração consumada mediante uso de fogo.</t>
  </si>
  <si>
    <t>Brasil Novo</t>
  </si>
  <si>
    <t>Weder Markes Carneiro</t>
  </si>
  <si>
    <t>Terra Indígena Cachoeira Seca</t>
  </si>
  <si>
    <t>5Q1MGF0S</t>
  </si>
  <si>
    <t>Permitir ou autorizar a condução de veículo automotor em desacordo com os limites e exigências ambientais previstos na legislação. Veículo SCANIA 440 A6X4 PLACA OAQ-6941 ANO 2014. Arla adulterado e sistema SCR Inoperante com falha.</t>
  </si>
  <si>
    <t>RODORAPIDO TRANSPORTES LTDA</t>
  </si>
  <si>
    <t>Posto da Polícia Rodoviária Federal em Rondonópolis MT</t>
  </si>
  <si>
    <t>OFQA9VT5</t>
  </si>
  <si>
    <t>Fazer funcionar atividade considerada potencialmente poluidora (Transporte Interestadual de Cargas) sem Autorização Ambiental para transporte interestadual de produtos perigosos válida, nos veículos placas ATT 6606 e CUD 4188</t>
  </si>
  <si>
    <t>Eder Almeida da Silva Transportes ME</t>
  </si>
  <si>
    <t>Posto 201 da PRF, BR 163, Rondonópolis.</t>
  </si>
  <si>
    <t>T6IFAMVI</t>
  </si>
  <si>
    <t>FAZER USO DE FOGO EM 738,6 HECTARES DE ÁREA AGROPASTORIL.</t>
  </si>
  <si>
    <t>ROBSAO DEMONTHI DE SOUZA MOREIRA</t>
  </si>
  <si>
    <t>Fazenda do Robao</t>
  </si>
  <si>
    <t>58 Decreto 6514; 70 1º Lei 9605; 72 Lei 9605; 3º II Decreto 6514.</t>
  </si>
  <si>
    <t>T6GBCW64</t>
  </si>
  <si>
    <t>Apresentar informação falsa no sistema DOF por reter créditos de 1.123,039 metros cúbicos de madeiras de espécies nativas, sendo 914,554 metros cúbicos de madeira em toras e 208,485 metros cúbicos de madeira serrada, conforme planilhas anexas.</t>
  </si>
  <si>
    <t>MADEIREIRA MADERVILAS COMERCIO E INDUSTRIA DE MADEIRA LTDA-ME</t>
  </si>
  <si>
    <t>Vicinal 16 - km 01 - Nova Colina</t>
  </si>
  <si>
    <t>IH82SMVW</t>
  </si>
  <si>
    <t>Transportar produto perigoso (ONU 1202) sem utilizar o Rótulo de Risco correspondente ao produto transportado no lado direito do veículo-reboque de placa HSU-9510.</t>
  </si>
  <si>
    <t>Tereza Pessoa Ferreira EPP</t>
  </si>
  <si>
    <t>Posto da PRF de Rondonópolis/MT. BR 364, KM 211.</t>
  </si>
  <si>
    <t>FQTSKDT0</t>
  </si>
  <si>
    <t>Permitir ou autorizar a condução de veículo automotor em desacordo com os limites e exigências ambientais previstos na legislação. Caminhão Volvo/FH 460 6x2T.</t>
  </si>
  <si>
    <t>FECULARIA LOPES LTDA</t>
  </si>
  <si>
    <t>Rodovia 364 Posto da Polícia Rodoviária Federal, UOP 201 Km 211</t>
  </si>
  <si>
    <t>KEJPK5EU</t>
  </si>
  <si>
    <t>Impedir a regeneração natural em 69,20 ha de vegetação nativa (Campo) localizada no Bioma Mata Atlantica, objeto de especial preservação, através da substituição da vegetação nativa por espécie exótica (pinus) em área de Unidade de Conservação (Refugio da Vida Silvestre dos Campos de Palmas).</t>
  </si>
  <si>
    <t>ERENITA SPAUTZ  DE MELO</t>
  </si>
  <si>
    <t>Revis dos Campos de Palmas</t>
  </si>
  <si>
    <t>DES CAMPEREADA II</t>
  </si>
  <si>
    <t>48 1º Decreto 6514; 93 Decreto 6514; 70 1º Lei 9605; 72 Lei 9605; 3º II Decreto 6514; 3º VII Decreto 6514.</t>
  </si>
  <si>
    <t>UDUY5VSE</t>
  </si>
  <si>
    <t>Comercializar substância perigosa ou nociva à saúde humana ou ao meio ambiente (agrotóxicos) em desacordo com as exigências estabelecidos em leis ou em suas regulamentações (Decreto 4074/2002).</t>
  </si>
  <si>
    <t>André Luis dos Santos Tresso</t>
  </si>
  <si>
    <t>Residência do autuado</t>
  </si>
  <si>
    <t>XJT6QGPM</t>
  </si>
  <si>
    <t>Permitir ou autorizar a condução de veículos automotores em desacordo com os limites e exigências ambientais previstos na legislação. Veículo SCANIA 440 placa OAC-6941 Ano 2014. Arla Adulterado e sistema SCR Inoperante com falha.</t>
  </si>
  <si>
    <t>Posto da Polícia Rodoviária Federal em Rondonópolis</t>
  </si>
  <si>
    <t>BSYW9E21</t>
  </si>
  <si>
    <t>Destruir vegetação nativa (Campo de altitude), objeto de especial preservação, não passível de autorização para supressão</t>
  </si>
  <si>
    <t>IBELMAR SELEME</t>
  </si>
  <si>
    <t>Fazenda  xxx.  Imóvel  com  inscrição   CAR  : xxx.</t>
  </si>
  <si>
    <t>70 §1 72 Lei 9605/98; 3 2,7 49 §1 Decreto 6514/2008; 2 caput 23 I,III,IV Lei 11428/06.</t>
  </si>
  <si>
    <t>CMEJZZO2</t>
  </si>
  <si>
    <t>Fazer funcionar atividade considerada potencialmente poluidora (transporte interestadual de cargas perigosas-ONU 1202), sem Autorização Ambiental para o transporte interestadual de produtos perigosos-AATIPP/IBAMA válida para os veículos placas MHT-9952, HSJ-9510 e HSU-9510.</t>
  </si>
  <si>
    <t>TRANSPORTADORA RODOMS LTDA</t>
  </si>
  <si>
    <t>NJPZ7IJE</t>
  </si>
  <si>
    <t>Transportar produto perigoso em desacordo com a legislação vigente. Transporte de produto perigoso, óleo diesel S10, em veículo placa HTG 3328, sem utilizar rótulo de risco.</t>
  </si>
  <si>
    <t>Posto PRF, BR 163, Rondonópolis.</t>
  </si>
  <si>
    <t>NGGEYRM6</t>
  </si>
  <si>
    <t>APRESENTAR INFORMAÇÃO FALSA NO SISTEMA DOF AO RETER CRÉDITOS DE 729,133 METROS CÚBICOS DE TORAS E 82,056 METROS CUBICOS DE MADEIRA SERRADA DE ESPÉCIES NATIVAS SEM CORRESPONDÊNCIA NO PÁTIO FÍSICO DA EMPRESA, CONFORME PLANILHAS ANEXAS.</t>
  </si>
  <si>
    <t>RR INDUSTRIA E COMERCIO DE MADEIRAS EIRELI - EPP</t>
  </si>
  <si>
    <t>MADEIREIRA RR</t>
  </si>
  <si>
    <t>7B9JY9EA</t>
  </si>
  <si>
    <t>Apresentar informação falsa no sistema oficial de controle DOF, referente ao recebimento de nove DOFs ideologicamente falsos, descritos na Informação Técnica xxx (SEI!IBAMA xxx)</t>
  </si>
  <si>
    <t>Madeireira Nossa Senhora de Fátima
MARLEIDE SANTANA SANTOS ME</t>
  </si>
  <si>
    <t>1YJR1A0N</t>
  </si>
  <si>
    <t>.
Destruir 189,8 hectares de floresta nativa no bioma amazônico, objeto de especial preservação, consumado pelo uso de fogo, sem a licença outorgada pelo órgão ambiental competente, no polígono de coordenadas centrais 10º 13' 32,5" S 68º 45' 56,4" W, no ID 2019AWS00013128, conforme mapa com análise temporal de imagens georreferenciadas, anexa ao processo.</t>
  </si>
  <si>
    <t>Seringal Boa Vista</t>
  </si>
  <si>
    <t>XKZSTDDB</t>
  </si>
  <si>
    <t>Destruir 1,15 ha de floresta amazônica em área de preservação permanente na Fazenda Montes Claros (Vicinal 02, Vila do Equador, Rorainópolis/RR), sem autorização do órgão competente.</t>
  </si>
  <si>
    <t>Juliano Bento da Silva</t>
  </si>
  <si>
    <t>Fazenda Montes Claros, Vicinal 02, Vila do Equador, Rorainópolis/RR</t>
  </si>
  <si>
    <t>43 Decreto 6514; 70 1º Lei 9605; 72 Lei 9605; 3º II Decreto 6514; 3º IV Decreto 6514; 3º VII Decreto 6514.</t>
  </si>
  <si>
    <t>COPIQIF6</t>
  </si>
  <si>
    <t>Ter em depósito 34,543 metros cúbicos de madeira em toras e 133,167 metros cúbicos de madeira serrada de espécies nativas sem Documento de Origem Florestal -DOF, conforme planilhas anexas.</t>
  </si>
  <si>
    <t>Vicinal 16 - Km 01 - Nova Colina</t>
  </si>
  <si>
    <t>CVT5ZYVG</t>
  </si>
  <si>
    <t>Ter em depósito 39,769 metros cúbicos de madeira serrada de espécies nativas sem Documento de Origem Florestal - DOF, conforme planilha anexa.</t>
  </si>
  <si>
    <t>MADELIN MADEIREIRA LINHARES LTDA - EPP</t>
  </si>
  <si>
    <t>Madelin Madeireira Linhares, Distrito Nova Colina - Rorainópolis/RR.</t>
  </si>
  <si>
    <t>RB1NRCR7</t>
  </si>
  <si>
    <t>FAZER USO DE FOGO EM 446 HECTARES DE ÁREA AGROPASTORIL.</t>
  </si>
  <si>
    <t>ROBERSON GOMES</t>
  </si>
  <si>
    <t>Fazenda do Robinho</t>
  </si>
  <si>
    <t>86PDX4YR</t>
  </si>
  <si>
    <t>Prestar informação falsa no sistema DOF ao reter créditos de 914,554 metros cúbicos de toras e 243,550 metros cúbicos de madeira serrada de espécies nativas sem correspondência com o pátio físico da empresa, conforme planilhas anexas.</t>
  </si>
  <si>
    <t>82 Decreto 6514; 70 1º Lei 9605; 72 Lei 9605; 3º II Decreto 6514; 3º IV Decreto 6514.</t>
  </si>
  <si>
    <t>HMNWNNPQ</t>
  </si>
  <si>
    <t>Descumprir embargo de área referente ao termo de embargo nº 624611-e.</t>
  </si>
  <si>
    <t>CELSO LACERDA PEREIRA</t>
  </si>
  <si>
    <t>Zona Rural de Rurópolis-PA</t>
  </si>
  <si>
    <t>0USWAFAK</t>
  </si>
  <si>
    <t>Descumprir embargo de área referente ao termo de embargo  nº 32630-e.</t>
  </si>
  <si>
    <t>DOMINGOS ALVES DE SOUZA</t>
  </si>
  <si>
    <t>zona Rural de Rurópolis-PA</t>
  </si>
  <si>
    <t>REJIRDPJ</t>
  </si>
  <si>
    <t>Apresentar informação falsa no Sistema DOF ao reter créditos de 924,555 metros cúbicos de toras e 84,792 metros cúbicos de madeira serrada de espécies nativas sem correspondência no pátio físico da empresa, conforme planilhas anexas.</t>
  </si>
  <si>
    <t>Madelin Madeireira Linhares - Distrito de Nova Colina, Rorainópolis/RR</t>
  </si>
  <si>
    <t>AT9MCSUQ</t>
  </si>
  <si>
    <t>Fazer funcionar atividade (transporte interestadual de cargas perigosas - ONU 3257) considerada potencialmente poluidora sem Autorização Ambiental para o Transporte Interestadual de Produtos Perigosos (AATIPP/IBAMA) válida com a relação dos veículos empregados (trator Volvo, placa FRE-1391, e reboque placa JIH-9918).</t>
  </si>
  <si>
    <t>Ágape Transportes e Comércio S/A</t>
  </si>
  <si>
    <t>Posto PRF, rodovia BR 364, km 211</t>
  </si>
  <si>
    <t>4COHWJFT</t>
  </si>
  <si>
    <t>Fazer funcionar atividade (transporte interestadual de cargas perigosas - ONU 1863) considerada potencialmente poluidoras sem Autorização Ambiental para o Transporte Interestadual de Produtos Perigosos (AATIPP/IBAMA) válida.</t>
  </si>
  <si>
    <t>Vila Real Transportes e Serviços Ltda</t>
  </si>
  <si>
    <t>XIDWL73U</t>
  </si>
  <si>
    <t>Apresentar informação falsa em sistema oficial de controle sispass, falsa data de nascimento das aves anilhas sispass 2.2 SP/A 075625 e sispass 2.2 SP/A 075626</t>
  </si>
  <si>
    <t>Pacaembu</t>
  </si>
  <si>
    <t>PAULO HENRIQUE OLIVEIRA DEL SAL</t>
  </si>
  <si>
    <t>Residência do criador amador de Passeriformes.</t>
  </si>
  <si>
    <t>UTV4FE39</t>
  </si>
  <si>
    <t>Deixar de apresentar relatórios anuais do RAPP  ( Lei 6938/1981: ART. 17-C) os relatórios da Lei 10.165/2000 no Cadastro Técnico Federal -CTF, referentes aos anos de 2018/2017 e 2019/2018 não foram entregues nos prazos exigidos pela legislação.</t>
  </si>
  <si>
    <t>COOPER STANDARD AUTOMOTIVE BRASIL SEALING LTDA</t>
  </si>
  <si>
    <t>Aeroporto Internacional de Viracopos, Rod. Santos Dumont, Km-66.</t>
  </si>
  <si>
    <t>7Z7Z8R66</t>
  </si>
  <si>
    <t>Impedir a regeneração natural de 4,3336 hectares de vegetação nativa considerada Área de Preservação Permanente sendo: (área 1) 2,6077 hectares ocupada com pastagem; (área 2) ocupada com uma caixa de concreto; Curral de madeira e cabo de aço com telhado de brasilite, dois piquetes de madeira e cabo de aço se cobertura e encarretador de gado de madeira; Fossa de concreto; Galinheiro com mureta de alvenaria, estacas de madeira cercada de tela e cobertura de brasilite; Chiqueiro com meia parede de alvenaria e telhado de brasilite; Chiqueiro com baias de alvenaria e telhado de brasilite; Galinheiro de alvenaria e telhado de brasilite; Chiqueiro com mancos de madeira e cobertura de amianto e cozinha de alvenaria e telhado de brasilite.</t>
  </si>
  <si>
    <t>Itumbiara</t>
  </si>
  <si>
    <t>Osmar dos Reis Stort</t>
  </si>
  <si>
    <t>Vermelhão-UHE FURNAS ITUMBIARA GO</t>
  </si>
  <si>
    <t>DES UHE ITB II</t>
  </si>
  <si>
    <t>YLAD9SNF</t>
  </si>
  <si>
    <t>Apresentar informação falsa em sistema oficial de controle SisPass. Anilha SisPass 2.2 SP/A 075701.</t>
  </si>
  <si>
    <t>Murutinga do Sul</t>
  </si>
  <si>
    <t>ANDRE LUIS RIBEIRO DA SILVA</t>
  </si>
  <si>
    <t>Residência do criador amador de passeriformes</t>
  </si>
  <si>
    <t>SNS2TH3H</t>
  </si>
  <si>
    <t>Destruir 48,6 hectares de floresta nativa do Bioma floresta Amazônico, objeto especial de preservação, sem autorização da autoridade ambiental competente. ID de Referência 2019AWS000023953</t>
  </si>
  <si>
    <t>Getulio Rodrigues Antunes</t>
  </si>
  <si>
    <t>Fazenda Paraíso - Estrada do Viveiro - Gleba A Lote - 06/A-2 - Município de Brasnorte - MT. Matrícula do Imóvel xxx do Cartório 1° OFICIO Registro de Imóvel, Títulos de Brasnorte - MT.</t>
  </si>
  <si>
    <t>3TDT04HR</t>
  </si>
  <si>
    <t>Destruir 189,8 hectares de floresta nativa no bioma amazônico, objeto de especial preservação, consumado pelo uso de fogo, sem a licença outorgada pelo órgão ambiental competente, no polígono de coordenadas centrais -10º 13' 32,5" S -68º 45' 56,4" W, no ID 2019AWS00013128, conforme mapa com análise temporal de imagens georreferenciadas, anexo ao processo.</t>
  </si>
  <si>
    <t>Sem denominação</t>
  </si>
  <si>
    <t>1CBEGCDG</t>
  </si>
  <si>
    <t>Impedir a regeneração natural de 7,5109 hectares de vegetação nativa em áreas consideradas Área de Preservação Permanente, sendo: (área 1) 2,4844 hectares e (área 2) 5,0265 hectares, ambas com formação de pastagens e cercas</t>
  </si>
  <si>
    <t>Sérgio Augusto de Oliveira</t>
  </si>
  <si>
    <t>Fazenda Estância Lago Azul UHE FURNAS ITUMBIARA GO.</t>
  </si>
  <si>
    <t>UDV9SR3P</t>
  </si>
  <si>
    <t>Impedir regeneração natural em 288,790 hectares de vegetação nativa (campo) localizado no bioma Mata Atlântica, objetivo de especial preservação, através da substituição da vegetação por espécie exótica (pinus).</t>
  </si>
  <si>
    <t>INDUSTRIA DE COMPENSADOS GUARARAPES LTDA</t>
  </si>
  <si>
    <t>Fazenda Santo Agostinho, matrículas xxx e xxx.</t>
  </si>
  <si>
    <t>4DREB1SQ</t>
  </si>
  <si>
    <t>Ter em depósito  127,513 m3 de madeira serrada sem documento de origem florestal conforme planilha anexa.</t>
  </si>
  <si>
    <t>Madeireira RR. Rod BR 174 Distrito de Nova Colina.</t>
  </si>
  <si>
    <t>DOF ORIGEM III</t>
  </si>
  <si>
    <t>70 § 1 72 Lei 9605/98; 3 II,IV 47 § 1 Decreto 6514/2008.</t>
  </si>
  <si>
    <t>DSFPSV83</t>
  </si>
  <si>
    <t>Danificar 12,49 hectares de vegetação nativa do Bioma Amazônico, objeto de especial preservação, na fazenda São João, município de Juara/MT, sem autorização ou licença da autoridade ambiental competente.</t>
  </si>
  <si>
    <t>LUIZ JOSE MUNCHEN</t>
  </si>
  <si>
    <t>Fazenda São João</t>
  </si>
  <si>
    <t>W9991JPT</t>
  </si>
  <si>
    <t>Impedir a regeneração natural da 1,9633 hectares de vegetação nativa considerada de Área de Preservação Permanente, ocupada com Casa de alvenaria com dois pavimentos e telha de concreto; Garagem de alvenaria com telhas brasilite e portão de metal; Curral de madeira com parte cobertura de telha brasilite e encarretador de gado; Casa de alvenaria com varanda e telha brasilite; Galinheiro de alvenaria e telha brasilite e depósito de materiais/almoxarifado de alvenaria e telha brasilite.</t>
  </si>
  <si>
    <t>PROCOPIO VENANCIO DA SILVA</t>
  </si>
  <si>
    <t>Vermelhão - UHE FURNAS ITUMBIARA GO</t>
  </si>
  <si>
    <t>5IWI2FAQ</t>
  </si>
  <si>
    <t>Transportar 4.795 m3 de madeira serrada sem a licença ambiental do órgão competente, sendo as essências; Angelim 1.028m3, Cerejeira 3.095 m3 e Cedro 0.679m3.</t>
  </si>
  <si>
    <t>Luciano Meira Prais</t>
  </si>
  <si>
    <t>Br 317, Sentido Brasiléia/Assis Brasil. km 42</t>
  </si>
  <si>
    <t>1WTM82F4</t>
  </si>
  <si>
    <t>FAZER USO DE FOGO EM 738,6 ha DE ÁREA AGROPASTORIL</t>
  </si>
  <si>
    <t>FAZRNDA DO ROBAO</t>
  </si>
  <si>
    <t>29DDALSZ</t>
  </si>
  <si>
    <t>Impedir a regeneração natural de 14,6304 hectares de vegetação nativa considerada Área de Preservação Permanente, sendo: 9,537 hectares ocupada com pastagens e 5,6304 hectares, ocupada com curral com Manços de madeira e cobertura com telhas brasilite; Chiqueiro com baias de alvenaria e cobertura de telhas brasilite; Cisterna, conjunto motobomba e caixa d'água de alvenaria; Casa de alvenaria com garagem, portão e telha de barro; Casa sede de alvenaria e telha de barro; Área de lazer com dois banheiros e balcão; Aterro comentado com piscina de fibra.</t>
  </si>
  <si>
    <t>Arquimedes de Queiroz Barbosa</t>
  </si>
  <si>
    <t>Vermelhão  -. Itumbiara GO</t>
  </si>
  <si>
    <t>K7PYJ31B</t>
  </si>
  <si>
    <t>Deixar de manter registro de movimentação de aves no SisPass, referente a ave SisPass 2.6 MS/A 007256, que estava em posse do criador Givaldo Alves dos Santos.</t>
  </si>
  <si>
    <t>Campo Grande</t>
  </si>
  <si>
    <t>Adão Fernandes Barbura</t>
  </si>
  <si>
    <t>Residência do Criador</t>
  </si>
  <si>
    <t>31 Decreto 6514; 70 1º Lei 9605; 72 Lei 9605; 3º II Decreto 6514.</t>
  </si>
  <si>
    <t>XMZQ0TFG</t>
  </si>
  <si>
    <t>Impedir a regeneração de vegetação nativa, em área de 1.298,2 hectares,  na região amazônica,  objeto de especial preservação,  indicada pela autoridade ambiental competente,  conforme Termo de Embargo n° 748681- E. Polígono com coordenadas geográficas, anexo ao processo. ID. 2007MDS005064. processo n° 02024.002854/2018-15.</t>
  </si>
  <si>
    <t>Natal Baptistão</t>
  </si>
  <si>
    <t>Fazenda Itacuru, Lote 01, Linha 06, Gleba Jacinópolis.</t>
  </si>
  <si>
    <t>YBD87N88</t>
  </si>
  <si>
    <t>Descumprir embargo referente ao Termo de Embargo n° 748681-E, processo SEI n° 02024.002854/2018-15. ID. 2007MDS005064.</t>
  </si>
  <si>
    <t>S089P1T8</t>
  </si>
  <si>
    <t>Deixar de manter registro de movimentação de aves no SisPass, referentes as aves SisPass 2.6 SP/A 182896, SisPass 2.6 SP/A 161348 e  SisPass 2.6 SP/A 182894, que estavam em posse do criador Givaldo Alves dos Santos.</t>
  </si>
  <si>
    <t>Rinópolis</t>
  </si>
  <si>
    <t>LEANDRO RODRIGUES ALVES</t>
  </si>
  <si>
    <t>Rua São Paulo, 340, centro, Rinópolis-SP</t>
  </si>
  <si>
    <t>PRAGAE0D</t>
  </si>
  <si>
    <t>Destruir 32,97 hectares de Floresta Nativa. sem autorização prévia do órgão ambiental competente os IDS 661516 e 59981.</t>
  </si>
  <si>
    <t>Canutama</t>
  </si>
  <si>
    <t>Julio Cesar Ribeiro</t>
  </si>
  <si>
    <t>Br 230. Km-70. Lado direito sentindo Humaitá/Lábrea. Gleba das Abelhas. Município de Canutama</t>
  </si>
  <si>
    <t>9FA64U4O</t>
  </si>
  <si>
    <t>Deixar de apresentar relatório ambiental referente ao ano 2017/2016, no prazo exigido pela legislação ambiental.</t>
  </si>
  <si>
    <t>Bragança</t>
  </si>
  <si>
    <t>M. Mescouto do Rosário</t>
  </si>
  <si>
    <t>Rua Bebiano Ramos n° 12-B.
Bairro Vila do Treme.</t>
  </si>
  <si>
    <t>TZBHUBHM</t>
  </si>
  <si>
    <t>Apresentar informação falsa no Sistema DOF, declarando recebimento do DOF 14844013 no dia 15/09/2015, em tempo incompatível com a distância declarada, conforme Informação xxx, nos ítens 14, 15 e no Quadro 03 sobre o processo 02028.001105/2018-31.</t>
  </si>
  <si>
    <t>COMAFER - COMÉRCIO DE MADEIRA E FERRO LTDA - ME</t>
  </si>
  <si>
    <t>Avenida Recife, 2905 - Ipsep - Recife - PE na COMAFER</t>
  </si>
  <si>
    <t>QUXP9V8S</t>
  </si>
  <si>
    <t>Danificar 76,45 hectares de vegetação nativa, objeto de especial preservação, dentro da Terra Indígena Portal do Encantado não passíveis de autorização para exploração ou supressão</t>
  </si>
  <si>
    <t>Fazenda Santa Barbara</t>
  </si>
  <si>
    <t>AZWXYGSW</t>
  </si>
  <si>
    <t>PRATICAR MAUS-TRATOS A DOZE ESPÉCIMES DE ANIMAIS SILVESTRES NATIVOS, CONFORME LAUDO DE CONSTATAÇÃO xxx.</t>
  </si>
  <si>
    <t>Montes Claros</t>
  </si>
  <si>
    <t>RAFAEL ARIENE BESSA DA PAIXÃO</t>
  </si>
  <si>
    <t>BR 251, KN 514.</t>
  </si>
  <si>
    <t>K8CW27MZ</t>
  </si>
  <si>
    <t>Transportar 2,8712 m3 de madeira serrada da espécie Bertholletia excelsa (castanheira) sem licença outorgada pela autoridade competente.</t>
  </si>
  <si>
    <t>CERGIO ANTONIO FREITAS DE AQUINO</t>
  </si>
  <si>
    <t>BR 317, Km 33, sentido Brasiléia - Assis Brasil</t>
  </si>
  <si>
    <t>7P55XFPH</t>
  </si>
  <si>
    <t>Desmatar dentro da área de reserva legal 17,2268 ha sem autorização prévia do órgão ambiental competente.</t>
  </si>
  <si>
    <t>JONASIO GOMES RAMOS</t>
  </si>
  <si>
    <t>Rodovia BR 230, KM 64 sentido Lábrea</t>
  </si>
  <si>
    <t>WEBXW1AR</t>
  </si>
  <si>
    <t>Vender 59,51 metros cúbicos de madeiras em toras , em desacordo com a GF 1 número 8/DVPF 4 e GF31/DVPF 1 emitidas pelo órgão ambiental.  Observação : Este AIN atende a Decisão concedida no Mandado de Segurança número 1001539-87.2017.4.01.3600.</t>
  </si>
  <si>
    <t>Agropecuária Estrela do Oeste Ltda</t>
  </si>
  <si>
    <t>6I1R2N6N</t>
  </si>
  <si>
    <t>Descumprir embargo de área referente ao termo de embargo nº 650256-e.</t>
  </si>
  <si>
    <t>Francisco Eduardo Soares da Cunha</t>
  </si>
  <si>
    <t>4YOSGPV3</t>
  </si>
  <si>
    <t>DESCUMPRIR EMBARGO REFERENTE AO AUTO DE INFRAÇÃO 718513/D E TERMO DE EMBARGO 615039 CONFORME PROCESSO 02048000303/2013-34</t>
  </si>
  <si>
    <t>JOSELINO PADILHA</t>
  </si>
  <si>
    <t>ZONA RURAL DO MUNICÍPIO DE RUROPOLES PÁ</t>
  </si>
  <si>
    <t>E59CCUCB</t>
  </si>
  <si>
    <t>Descumprir embargo de área referente ao termo de embargo nº 608372-e.</t>
  </si>
  <si>
    <t>João Antunes da Silva</t>
  </si>
  <si>
    <t>6YA4RXG1</t>
  </si>
  <si>
    <t>Destruir 58,4284 hectares de floresta nativa, objeto de especial preservação (bioma amazônico), sem autorização da autoridade ambiental competente.Deter 59960</t>
  </si>
  <si>
    <t>ivan luiz schneider</t>
  </si>
  <si>
    <t>Br 319 km 130 sentido Humaita Gleba rio preto</t>
  </si>
  <si>
    <t>5QGJQF23</t>
  </si>
  <si>
    <t>Descumprir embargo de área referente ao termo de embargo nº 421646-e.</t>
  </si>
  <si>
    <t>JUDIVALDO PEREIRA DE OLIVEIRA</t>
  </si>
  <si>
    <t>MGNO3U72</t>
  </si>
  <si>
    <t>JOÃO ANTUNES DA SILVA</t>
  </si>
  <si>
    <t>8H4KVR67</t>
  </si>
  <si>
    <t>Descumprir embargo de área referente ao termo 632753-e.</t>
  </si>
  <si>
    <t>ADAO DIAS DE SOUSA</t>
  </si>
  <si>
    <t>4AXGUJ0L</t>
  </si>
  <si>
    <t>DESTRUIR 8,98 HECTARES DE FLORESTA NATIVA NO BIOMA AMAZÔNIA, AMAZÔNIA LEGAL, OBJETO DE ESPECIAL PRESERVAÇÃO, SEM AUTORIZAÇÃO DA AUTORIDADE AMBIENTAL COMPETENTE, IDEXTRA2019068 COORDENADAS GEOGRÁFICAS CENTROIDE: 10210990 S e 635353,63W</t>
  </si>
  <si>
    <t>OSÓRIO RAIMUNDO DE OLIVEIRA</t>
  </si>
  <si>
    <t>PA SÃO JOSÉ LINHA C 14 S/N KM 22 LOTE 179 GL 01 ZONA RURAL DO MUNICÍPIO DE CAMPO NOVO DE RONDÔNIA</t>
  </si>
  <si>
    <t>IC0SIZ2N</t>
  </si>
  <si>
    <t>DESTRUIR 25,45 HECTARES DE FLORESTA NATIVA NO BIOMA AMAZÔNIA, AMAZÔNIA LEGAL, OBJETO DE ESPECIAL PRESERVAÇÃO, SEM AUTORIZAÇÃO DA AUTORIDADE AMBIENTAL COMPETENTE, IDEXTRA066 DE COORDENADAS GEOGRÁFICAS CENTROIDE: 102021,21 S e 635142,83W</t>
  </si>
  <si>
    <t>Buritis</t>
  </si>
  <si>
    <t>GENILSON ALVES FEITOSA/  *A/C Adv. Elizangela de O. Miranda</t>
  </si>
  <si>
    <t>PA SÃO JOSÉ LINHA 18 A S/N</t>
  </si>
  <si>
    <t>ST28BGVI</t>
  </si>
  <si>
    <t>Destruir 16,62 hectares de vegetação nativa, na região amazônica, objeto de especial preservação, sem autorização da autoridade ambiental competente, conforme polígono com coordenadas, anexo ao processo. Observação: IDExtra068.</t>
  </si>
  <si>
    <t>Jucimar Valdelino Duarte</t>
  </si>
  <si>
    <t>Linha 18, s/n°, Lote 191, PA São José, Buritis-GO.</t>
  </si>
  <si>
    <t>YRFJ4SBT</t>
  </si>
  <si>
    <t>Apresentar informação falsa no sistema de controle DOF, referente ao recebimento de quatro DOFs ideologicamente falsos, descritos na Informação Técnica xxx (SEI!IBAMA xxx, PROC 02020.002421/2019-81)</t>
  </si>
  <si>
    <t>A ROSENO DE LIMA -ME</t>
  </si>
  <si>
    <t>SUPES PI</t>
  </si>
  <si>
    <t>80M63C9Y</t>
  </si>
  <si>
    <t>Pescar em período em que a pesca é proibida ( defeso da piracema).</t>
  </si>
  <si>
    <t>Manoel Rondon da Silva</t>
  </si>
  <si>
    <t>margem esquerda do rio Paraguai, fazenda Grendene</t>
  </si>
  <si>
    <t>3RQ6ZBTG</t>
  </si>
  <si>
    <t>Destruir, a corte raso e com uso de fogo, 190,69 hectares de vegetação nativa, objeto de especial preservação (Amazônia Legal), sem autorização da autoridade ambiental competente.</t>
  </si>
  <si>
    <t>Eliane Cristina Carmo Teixeira Leite</t>
  </si>
  <si>
    <t>Ramal Coiti km 23 a partir da Vila Curuquete</t>
  </si>
  <si>
    <t>YWG89WC1</t>
  </si>
  <si>
    <t>Destruir, a corte raso e com uso de fogo, x hectares de vegetação nativa, objeto de especial preservação (Amazônia Legal), sem autorização da autoridade ambiental competente.</t>
  </si>
  <si>
    <t>Juarez Aparecido Vicente Fidelis</t>
  </si>
  <si>
    <t>50 2º Decreto 6514; 58 Decreto 6514; 70 1º Lei 9605; 72 Lei 9605; 3º II Decreto 6514; 3º VII Decreto 6514.</t>
  </si>
  <si>
    <t>5Z3FGNP2</t>
  </si>
  <si>
    <t>Portar motosserra sem licença da autoridade ambiental competente, em área de desmatamento.</t>
  </si>
  <si>
    <t>VALDIR JOAO DAGHETTI</t>
  </si>
  <si>
    <t>Base do IBAMA em Novo Progresso.</t>
  </si>
  <si>
    <t>EYYH97NB</t>
  </si>
  <si>
    <t>DESTRUIR UMA ÁREA DE 449,79 HECTARES DE VEGETAÇÃO OBJETIVO DE ESPECIAL PRESERVAÇÃO (AMAZÔNIA LEGAL) COM USO DE FOGO SEM AUTORIZAÇÃO DO ÓRGÃO AMBIENTAL COMPETENTE ID 795</t>
  </si>
  <si>
    <t>Trairão</t>
  </si>
  <si>
    <t>OTANIEL SOUZA SANTOS</t>
  </si>
  <si>
    <t>FAZENDA RAMAL AREIA II MUNICÍPIO DE TRAIRÃO PÁ</t>
  </si>
  <si>
    <t>8QLHJDAM</t>
  </si>
  <si>
    <t>DESTRUIR UMA ÁREA DE 449,79 HECTARES DE VEGETAÇÃO NATIVA, CONSIDERANDO OBJETO DE ESPECIAL PRESERVAÇÃO NA AMAZÔNIA LEGAL, SEM AUTORIZAÇÃO DO ÓRGÃO AMBIENTAL COMPETENTE, CONFORME ID Nº 795 NAS COORDENADAS GEOGRAFICAS CENTRAIS 04º 44' 59,8" S 55º 40' 59,8W, CONFORME MAPA COM IMAGEMS TEMPORAL EM ANEXO.</t>
  </si>
  <si>
    <t>NDP1Y6O7</t>
  </si>
  <si>
    <t>Destruir 216,94 hectares floresta nativa, objeto de especial preservação  (Bioma Amazônico), sem autorização da autoridade ambiental competente.
Obs.: Polígonos DETER ID 22204, 599969, 64055, 118039 e 98367.</t>
  </si>
  <si>
    <t>JUARES MONTEIRO</t>
  </si>
  <si>
    <t>BR 319, km 120 sentido Humaitá, Gleba Rio Preto.</t>
  </si>
  <si>
    <t>S9CA9SS3</t>
  </si>
  <si>
    <t>Destruir 100,67 hectares de vegetação nativa objeto de especial preservação sem autorização da autoridade competente</t>
  </si>
  <si>
    <t>Joao Oliveira dos Santos</t>
  </si>
  <si>
    <t>Sítio Toca do Gato</t>
  </si>
  <si>
    <t>G7YDZCT3</t>
  </si>
  <si>
    <t>Destruir a corte raso 64,99 hectares de floresta nativa objeto de especial preservação sem licença da autoridade ambiental competente sendo feito uso de fogo para consumação do ato.</t>
  </si>
  <si>
    <t>Dorival Merlin</t>
  </si>
  <si>
    <t>Seringal Boa Vista, AC-xxx</t>
  </si>
  <si>
    <t>0HJ63084</t>
  </si>
  <si>
    <t>Deixar de apresentar relatórios da Lei 10.165/2000, referentes aos anos 2016/2015, 2017/2016, 2018/2017, 2019/2018.</t>
  </si>
  <si>
    <t>F A DOS SANTOS E CIA LTDA ME</t>
  </si>
  <si>
    <t>F A Dos Santos LTDA - Avenida Padre Anchieta, bairro Dr. Silvio Leite, s/n</t>
  </si>
  <si>
    <t>QBR0NJMT</t>
  </si>
  <si>
    <t>Exrair ouro de floresta de domínio público (Parque Nacional do Rio Novo), sem prévia autorização.</t>
  </si>
  <si>
    <t>PARNA do Rio Novo</t>
  </si>
  <si>
    <t>Antônio Geraldo Farias Raul</t>
  </si>
  <si>
    <t>Parque Nacional do Rio Novo.</t>
  </si>
  <si>
    <t>GEF 2</t>
  </si>
  <si>
    <t>45 Decreto 6514; 70 1º Lei 9605; 72 Lei 9605; 3º II Decreto 6514; 3º IV Decreto 6514; 3º V Decreto 6514.</t>
  </si>
  <si>
    <t>93, Caput Decreto 6514/08.</t>
  </si>
  <si>
    <t>BUZZ7VL2</t>
  </si>
  <si>
    <t>Apresentar falsa informação em sistema oficial de controle, CTF - Cadastro Técnico Federal, ao declarar ser microempresa nos anos de 2015 à 2019, tendo auferido nos anos de 2014 à 2018 rendimentos compatíveis com pequeno porte.</t>
  </si>
  <si>
    <t>Cascavel</t>
  </si>
  <si>
    <t>PACHENKI &amp; PACHENKI LTDA</t>
  </si>
  <si>
    <t>70 § 1 72 Lei 9605/98; 3º II 82 Decreto 6514/2008.</t>
  </si>
  <si>
    <t>D0I54U2E</t>
  </si>
  <si>
    <t>Deixar de atender a exigências legais ( notificação 686014 - E ) quando devidamente notificado pela autoridade ambiental competente no prazo concedido visando a regularização, correção ou adoção de medidas de controle para cessar a degradação ambiental.</t>
  </si>
  <si>
    <t>Canarana</t>
  </si>
  <si>
    <t>Aldo Pedreschi Filho</t>
  </si>
  <si>
    <t>Fazenda Três Rios, Pontal e Mata Linda</t>
  </si>
  <si>
    <t>0ETBFFK6</t>
  </si>
  <si>
    <t>Descumprir embargo de 118,600 ha de floresta nativa,sem licença conforme o Termo de Embargo 069851-C e AI 516249-D processo 02025000722/2006-61</t>
  </si>
  <si>
    <t>Caroebe</t>
  </si>
  <si>
    <t>Procópio Alves de Aguiar Filho</t>
  </si>
  <si>
    <t>Fazenda Minério estrada da hidrelétrica jatapu gleba baliza margem direita.coordenadas geográfica 004818 N 591741 W</t>
  </si>
  <si>
    <t>VJBG70MK</t>
  </si>
  <si>
    <t>Vender espécimes da fauna silvestre nativa, constante da lista oficial da fauna brasileira ameaçada de extinção, sem autorização da autoridade ambiental competente.</t>
  </si>
  <si>
    <t>Salvador</t>
  </si>
  <si>
    <t>MAR DA BAHIA COMÉRCIO DE PEIXES ORNAMENTAIS ME</t>
  </si>
  <si>
    <t>Mar da Bahia Comércio de Peixes Ornamentais ME</t>
  </si>
  <si>
    <t>ORN ACARI</t>
  </si>
  <si>
    <t>24 1º II Decreto 6514; 24 1º III Decreto 6514; 70 1º Lei 9605; 72 Lei 9605; 3º II Decreto 6514.</t>
  </si>
  <si>
    <t>ZLLWUUSB</t>
  </si>
  <si>
    <t>Destruir 19,38 hectares de florestas no bioma amazônico e em área de manejo florestal (AUTEF N° xxx).</t>
  </si>
  <si>
    <t>Email</t>
  </si>
  <si>
    <t>Associação dos Pequenos Agricultores e Assentados do Igarapé Fortaleza</t>
  </si>
  <si>
    <t>Plano de Manejo Florestal APAGRIFORT</t>
  </si>
  <si>
    <t>IVY78UKW</t>
  </si>
  <si>
    <t>Utilizar em floresta ou demais formas de vegetação, motosserra cor vermelha, Marca Huqvarna, Modelo 372 XP, N° de série 965 98 16 00, com sabre e corrente, sem registro da autoridade ambiental competente.</t>
  </si>
  <si>
    <t>JZIJ3LVN</t>
  </si>
  <si>
    <t>Fazer funcionar atividade utilizadora de recursos ambientais sem licença do órgão ambiental competente.</t>
  </si>
  <si>
    <t>Arnou Paz de Carvalho</t>
  </si>
  <si>
    <t>Rio Xingu, Município de São Félix do Xingu</t>
  </si>
  <si>
    <t>7YWX1B85</t>
  </si>
  <si>
    <t>FOZ_IGUACU/UNID_TEC</t>
  </si>
  <si>
    <t>Apresentar informação enganosa em sistema oficial de controle (Sistema DOF), ao possuir saldo de 468,4245 metros cúbicos de produtos florestais processados na forma de alisar, bloco, portal, decking, forro, S4S, caibro, prancha, tábua, viga, assoalho e ripa, de diversas essências, conforme detalhado em planilha no processo administrativo n. 02057.000621/2019-81, sem possuir o respectivo produto fisicamente no pátio homologado.</t>
  </si>
  <si>
    <t>Portal Madeiras
Rua do Cowboy, 360
Bairro Pioneiros Catarinenses
Cascavel-PR
CEP 85805-450</t>
  </si>
  <si>
    <t>ROTINA FOZ</t>
  </si>
  <si>
    <t>IF8HCQ1W</t>
  </si>
  <si>
    <t>Ter em depósito 337,4997 metros cúbicos de produto florestal processado nas formas de alisar, bloco, decking, forro, S4S, caibro, prancha, tábua, viga, assoalho, portal, porta, ripa, rodapé e sarrafo com volumes e gênero especificados em planilha no processo administrativo n. 02057.000585/2019-56, sem licença válida para o armazenamento outorgada pela autoridade competente, haja vista, não possuir saldo no sistema DOF.</t>
  </si>
  <si>
    <t>Rua do Cowboy, 360
Bairro Pioneiros Catarinenses
CEP: 85805-450
Cascavel-PR</t>
  </si>
  <si>
    <t>SY7NIF85</t>
  </si>
  <si>
    <t>Por vender 370,820 m³ de madeira em toras de diversas essências conforme planilha anexa, sem licença válida outorgada pela autoridade competente.</t>
  </si>
  <si>
    <t>Tiago Fernando Arcari</t>
  </si>
  <si>
    <t>Rua Industrial, s/n, Chácara 36, lote A, Empresa A. C. Portes Eureli-ME</t>
  </si>
  <si>
    <t>TNFHEF22</t>
  </si>
  <si>
    <t>Deixar de apresentar relatórios anuais de atividades potencialmente poluidoras e utilizadoras de recursos ambientais RAPP, no prazo estabelecido no primeiro parágrafo do Artigo 17-C da Lei 6938/1981, referente aos últimos seis anos, ou seja, 2013, 2014, 2015, 2016, 2017 e 2018.</t>
  </si>
  <si>
    <t>BRAGA EMPREEN LTDA</t>
  </si>
  <si>
    <t>Tv. José César Braga, s/n, Bairro Novo Horizonte, Santana/AP, 68.926-036</t>
  </si>
  <si>
    <t>SER MARAVALHA I</t>
  </si>
  <si>
    <t>SIITBS56</t>
  </si>
  <si>
    <t>Deixar de inscrever-se no Cadastro Técnico Federal de que trata o Artigo 17 da Lei 6938/1981, na atividade que exerce, ou seja, atividade cód. 16-2: Indústria de Produtos Alimentares e Bebidas - Matadouros, abatedouros, frigoríficos, charqueadas e derivados de origem animal.</t>
  </si>
  <si>
    <t>Tv. José César Braga, s/n, Bairro Novo Horizonte, Santana/PA, 68.926-036</t>
  </si>
  <si>
    <t>3R98G6R9</t>
  </si>
  <si>
    <t>UTILIZAR EM DESACORDO A LICENÇA DE CRIADOR DE PASSERIFORMES AO NÃO ATUALIZAR OS DADOS DO SEU PLANTEL, POIS NÃO APRESENTOU OS PÁSSAROS OU DOCUMENTO QUE REGULARIZASSE SUA AUSÊNCIA DA RESIDÊNCIA DO AUTUADO, 02 ESPÉCIMES DE TRINCA FERRO.</t>
  </si>
  <si>
    <t>Guaçuí</t>
  </si>
  <si>
    <t>JACI ALVES RIBEIRO</t>
  </si>
  <si>
    <t>RUA MARIA VIANA EMERY,220, CENTRO</t>
  </si>
  <si>
    <t>UZRKF7H1</t>
  </si>
  <si>
    <t>Adquirir 28 animais (gado) da Fazenda Matapi I, localizada em Porto Grande/AP, onde incide o Termo de Embargo número 502362-C, de propriedade do Sr. Rui Rodrigues Ferreira (CPF xxx), conforme a GTA (Guia de Trânsito Animal) número 30622, série A, bloco 225, em 14/07/2017.</t>
  </si>
  <si>
    <t>Tv. José César Braga, s/n, Bairro Novo Horizonte, Santana, CEP 68.926-036</t>
  </si>
  <si>
    <t>F65MS2JY</t>
  </si>
  <si>
    <t>Exercer atividade de transporte de produtos perigoso interestadual sem portar Autorização Ambiental para o Transporte Interestadual de Produtos Perigosos- AATIPP.</t>
  </si>
  <si>
    <t>Osório</t>
  </si>
  <si>
    <t>Brucker e Pereira Transportes LTDA</t>
  </si>
  <si>
    <t>Posto PRF</t>
  </si>
  <si>
    <t>SRBOTCH5</t>
  </si>
  <si>
    <t>Deixar de apresentar relatórios anuais de atividades potencialmente poluidoras e utilizadoras de recursos ambientais RAPP, no prazo estabelecido no primeiro parágrafo do Artigo 17-C da Lei 6938/1981, referente aos últimos seis anos, ou seja, 2013, 2014, 3015, 2016, 2017 e 2018.</t>
  </si>
  <si>
    <t>FRIGORIFICO AMAZONIA EMPREEENDIMENTOS LTDA EPP</t>
  </si>
  <si>
    <t>Ramal Vila do Porto do Céu, 3007, Distrito do Coração, Macapá/AP</t>
  </si>
  <si>
    <t>TJUT7DI1</t>
  </si>
  <si>
    <t>Efetuar no dia 11 dia 16 dia 17 e dia 19 de fevereiro de 2016 a plataforma p-56 com suas instalações de apoio o descarte contínuo de água de processo ou de produção em desacordo com a regulamenfação ambiental específica resolução CONAMA 393/2007</t>
  </si>
  <si>
    <t>Petróleo Brasileiro S.A</t>
  </si>
  <si>
    <t>Plataforma p-56</t>
  </si>
  <si>
    <t>Deixar de apresentar relatórios anuais do Cadastro Técnico Federal referentes aos anos 2015/2014, 2016/2015,2017/2016,2018/2017, 2019/2018 no prazo exigido pela autoridade ambiental competente.</t>
  </si>
  <si>
    <t>Acari</t>
  </si>
  <si>
    <t>COMPANHIA DE AGUAS E ESGOTOS DO RIO GRANDE DO NORTE</t>
  </si>
  <si>
    <t>Acari/RN -RUA DA MATRIZ, 68 CENTRO</t>
  </si>
  <si>
    <t>70 1° 72 II Lei 9605/98; 3 II 81 Decreto 6514/2008.</t>
  </si>
  <si>
    <t>J9X6VNTE</t>
  </si>
  <si>
    <t>Adquirir 18 animais (bovinos) do Retiro Santa Terezinha, localizado em Porto Grande/AP, onde incide o Termo de Embargo número 501890-C, do Sr. Cláudio Daniel Lehnen (CPF xxx), conforme a GTA (Guia de Trânsito Animal) número 32243, série A, bloco 218, em 20/10/2017.</t>
  </si>
  <si>
    <t>Ramal Vila Porto do Céu, 3007, Bairro Porto do Céu, Macapá/AP</t>
  </si>
  <si>
    <t>0VGGZKC7</t>
  </si>
  <si>
    <t>Deixar de atender a notificação N° 701229-E.</t>
  </si>
  <si>
    <t>Porto Nacional</t>
  </si>
  <si>
    <t>VALDIR ROSSATO</t>
  </si>
  <si>
    <t>Fazenda Nossa Senhora do Carmo.</t>
  </si>
  <si>
    <t>2XNIDQ89</t>
  </si>
  <si>
    <t>Comercializar 18 animais bovinos do Retiro Santa Terezinha, localizado em Porto Grande/AP, onde incide o Termo de Embargo 501890-C, com a empresa Frigorífico Amazônia Empreendimentos Ltda (CNPJ 03.788.678/0001-79), conforme a GTA (Guia de Trânsito Animal) número 32243, série A, bloco 218, em 20/10/2017.</t>
  </si>
  <si>
    <t>Porto Grande</t>
  </si>
  <si>
    <t>Cláudio Daniel Lehnen</t>
  </si>
  <si>
    <t>Retiro Santa Terezinha, Fundos do P. A. Nova Colina, Porto Grande/AP</t>
  </si>
  <si>
    <t>Y2HAEZ85</t>
  </si>
  <si>
    <t>Apresentar informações falsas ou enganosas nos sistemas oficiais de controle (DOF)</t>
  </si>
  <si>
    <t>Poá</t>
  </si>
  <si>
    <t>S &amp; J Comércio Mad. Ltda</t>
  </si>
  <si>
    <t>Avenida João Paulo Castelano</t>
  </si>
  <si>
    <t>U96KS3L1</t>
  </si>
  <si>
    <t>Apresentar informações falsas ou enganosas nos sistemas oficiais de controle (DOF).</t>
  </si>
  <si>
    <t>Itatiba</t>
  </si>
  <si>
    <t>Madeireira Bandeira Branca</t>
  </si>
  <si>
    <t>Avenida Pedro Mascagni 961</t>
  </si>
  <si>
    <t>ZFDCLOCA</t>
  </si>
  <si>
    <t>Utilizar espécimes da fauna silvestre brasileira em desacordo com a licença obtida, sendo 04 curiós (Oryzoborus antolenses) e 02 trinca-ferro (Saltator similis).</t>
  </si>
  <si>
    <t>CLETO ENERIO BARCELOS</t>
  </si>
  <si>
    <t>Rua 31 de março, 112 Bairro Itacibá Cariacica ES</t>
  </si>
  <si>
    <t>24 Inc. 1,2 Decreto 6514/2008.</t>
  </si>
  <si>
    <t>1, anexo Decreto Est 1499-R / 2005.</t>
  </si>
  <si>
    <t>DESCUMPRIR O EMBARGO DE Nº 421884/C DE SERVIÇO CONSIDERADO POTENCIALMENTE POLUIDOR( ESTAÇÃO DE TRANSPORTE DE ESGOTOS - ETES) OBJETO DO AUTO DE INFRAÇÃO Nº 598801/D EMITIDO EM 06/08/2009 PROCESSO 02021.000711/2009-16.</t>
  </si>
  <si>
    <t>Parelhas</t>
  </si>
  <si>
    <t>RUA SEVERINO RODRIGUES DE SENA 63</t>
  </si>
  <si>
    <t>70 1° 72 II Lei 9605/98; 3 II 79 Decreto 6514/2008.</t>
  </si>
  <si>
    <t>288OYVJT</t>
  </si>
  <si>
    <t>Efetuar no dia 7 e dia 22 de dezembro de 2015 a plataforma p-56 com suas instalações de apoio descarte contínuo de água de processo de produção em desacordo com a regulamentação ambiental específica resolução CONAMA 393/2007.</t>
  </si>
  <si>
    <t>Plataforma P56</t>
  </si>
  <si>
    <t>QIOFQKV4</t>
  </si>
  <si>
    <t>Efetuar no dia 15 de agosto de 2015 a plataforma p-56 com suas instalações de apoio o descarte continuo de água de processo ou de produção em desacordo com a regulamentação ambiental específica resolução CONAMA 393/2007.</t>
  </si>
  <si>
    <t>JE4GI69P</t>
  </si>
  <si>
    <t>Comercializar 28 animais (gado) da Fazenda Matapi I, localizada em Porto Grande/AP, onde incide o Termo de Embargo 502262-C,  com a empresa Braga Empreendimentos Ltda (CNPJ 84.411.594/0001-13), conforme a GTA (Guia de Trânsito Animal) número 30622, série A, bloco 225, em 14/07/2017.</t>
  </si>
  <si>
    <t>RUI RODRIGUES FERREIRA</t>
  </si>
  <si>
    <t>Fazenda Matapi I, Colônia Agrícola do Matapi, Linha A, Porto Grande/AP</t>
  </si>
  <si>
    <t>6NYOK0S9</t>
  </si>
  <si>
    <t>Transportar produto perigoso em desacordo com a legislação vigente. Painéis de segurança com inscrições
 em ambos os lados. Caminhão PlacaINY0H52. Reboque IVV7C93.
ABNT NBR 7500/20013</t>
  </si>
  <si>
    <t>TRANSPORTADORA SULLOG LTDA</t>
  </si>
  <si>
    <t>PRF Osório</t>
  </si>
  <si>
    <t>MH32OSH7</t>
  </si>
  <si>
    <t>Descumprir embargo de área determinado pelo Termo de Embargo 502406-C, referente à uma área de 76,41 hectares, cuja vegetação nativa foi suprimida sem prévia autorização.</t>
  </si>
  <si>
    <t>Almeirim</t>
  </si>
  <si>
    <t>REGINALDO DO SOCORRO BORGES</t>
  </si>
  <si>
    <t>Fazenda Três Irmãos, rodovia que liga Monte Dourado a Almeirim, km 30, Almeirim/PA</t>
  </si>
  <si>
    <t>6C5HPXMV</t>
  </si>
  <si>
    <t>Realizar o transporte de produtos perigosos sem a Autorização Ambiental para Transporte Interestadual de Produtos Perigosos. Caminhão placas MLL 8172 e reboque MCZ 5926.</t>
  </si>
  <si>
    <t>REDE FURNAS COMERCIO DE COMBUSTIVEIS LTDA - F8</t>
  </si>
  <si>
    <t>PRF</t>
  </si>
  <si>
    <t>E77TQIYT</t>
  </si>
  <si>
    <t>Transportar 38,131 M3 de madeira serrada de essências diversas sem licença válida para todo o tempo da viagem, outorgada pela autoridade competente.</t>
  </si>
  <si>
    <t>BLENO MOREIRA XAVIER</t>
  </si>
  <si>
    <t>Superintendência do Ibama no Piauí</t>
  </si>
  <si>
    <t>FVTI83FM</t>
  </si>
  <si>
    <t>Deixar de apresentar relatórios anuais no Cadastro Técnico Federal (CTF), relatórios da Lei 10.165/2000, referente aos anos de 2017/2016, 2018/2017 e 2019/2018, não foram entregues no prazo exigido pela legislação.</t>
  </si>
  <si>
    <t>Mazzaferro Indústria e Comércio de Produtos para Pesca S/A.</t>
  </si>
  <si>
    <t>Aeroporto Internacional de Viracopos - Rodovia Santos Dumont, km 66 - Campinas/SP.</t>
  </si>
  <si>
    <t>XVVSPMRJ</t>
  </si>
  <si>
    <t>Transportar produto perigoso em desacordo com a legislação vigente. Painéis de segurança em desacordo com os produtos ONU transportados. NBR 7500/2013.</t>
  </si>
  <si>
    <t>TRANSJOI TRANSPORTES LTDA</t>
  </si>
  <si>
    <t>Posto da PRF</t>
  </si>
  <si>
    <t>C83GQMWM</t>
  </si>
  <si>
    <t>KYWPL0F1</t>
  </si>
  <si>
    <t>Destruir 1,8 hectares de vegetação nativa, objeto de especial preservação, não passíveis de autorização para exploração ou supressão.</t>
  </si>
  <si>
    <t>Novo Horizonte do Sul</t>
  </si>
  <si>
    <t>Francisco Adelco Fernandes</t>
  </si>
  <si>
    <t>Sítio 317 Assentamento Novo Horizonte do Sul</t>
  </si>
  <si>
    <t>TCI BOCAIUVA III</t>
  </si>
  <si>
    <t>BTYLQT2H</t>
  </si>
  <si>
    <t>Ter em depósito 6,28 metros cúbicos de madeira serrada sem licença da autoridade ambiental competente.</t>
  </si>
  <si>
    <t>INDUSTRIA E COMERCIO DE MADEIRAS DUNORTE LTDA.</t>
  </si>
  <si>
    <t>Indústria e Comércio de Madeiras Dunorte Ltda</t>
  </si>
  <si>
    <t>6ZO3UR80</t>
  </si>
  <si>
    <t>Efetuar no dia 17 de julho de 2014 a plataforma P 53 com suas instalações de apoio o descarte contínuo de água de processo ou de produção em desacordo com a regulamentação ambiental específica resolução CONAMA 393/2007.</t>
  </si>
  <si>
    <t>Plataforma P53</t>
  </si>
  <si>
    <t>ASHDO2I2</t>
  </si>
  <si>
    <t>Efetuar do dia 27 de janeiro de 2014 a plataforma p-54 com suas instalações de apoio descarte contínuo de água de processo ou de produção em desacordo com a regulamentação ambiental específica resolução CONAMA 393/2007.</t>
  </si>
  <si>
    <t>Plataforma P54</t>
  </si>
  <si>
    <t>QRSTX9CI</t>
  </si>
  <si>
    <t>Lançar resíduo líquido 0,013 metros cúbicos de substância oleosa (petróleo bruto) da plataforma p53 em desacordo com as exigências estabelecidas em leis ou atos normativos, conforme apurado no processo 02001.005784/2015-72.</t>
  </si>
  <si>
    <t>VC92V4VY</t>
  </si>
  <si>
    <t>Efetuar no dia primeiro de fevereiro de 2014 a plataforma p50 com suas instalações de apoio o descarte contínuo de água de processo ou de produção em desacordo com a regulamentação ambiental específica resolução CONAMA 393/2007.</t>
  </si>
  <si>
    <t>Plataforma P50</t>
  </si>
  <si>
    <t>53G4U3KX</t>
  </si>
  <si>
    <t>Efetuar no dia 15 de março de 2014 a plataforma p50 com suas instalações de apoio o descarte contínuo de água de processo ou de produção em desacordo com a regulamentação ambiental específica resolução CONAMA 393/2007.</t>
  </si>
  <si>
    <t>CZ48L92G</t>
  </si>
  <si>
    <t>Efetuar no dia 2 e dia 3 de fevereiro de 2014 a plataforma p-54 com suas instalações de apoio o descarte contínuo de água de processo ou de produção em desacordo com a regulamentação ambiental específica resolução CONAMA 393/2007.</t>
  </si>
  <si>
    <t>ZKMDE8VJ</t>
  </si>
  <si>
    <t>Efetuar no dia 28 e dia 30 de janeiro de 2014 a plataforma p-54 com suas instalações de apoio o descarte contínuo de água de processo ou de produção em desacordo com a regulamentação ambiental específica resolução CONAMA 393/2007.</t>
  </si>
  <si>
    <t>471H88IV</t>
  </si>
  <si>
    <t>Lançar resíduo líquido 0,1 metros cúbicos de substância oleosa (mistura metanol e óleo) da plataforma fpso Espirito Santo em desacordo com as exigências estabelecidas em leis ou atos normativos conforme apurado no processo 02001. 002985/2015-18.</t>
  </si>
  <si>
    <t>Plataforma FPSO-Espirito Santo</t>
  </si>
  <si>
    <t>OQGT99XT</t>
  </si>
  <si>
    <t>efetuar no dia 29 de junho de 2014 a plataforma fpso Niterói com suas instalações de apoio o descarte contínuo de água de processo ou de produção em desacordo com a regulamentação ambiental específica resolução CONAMA 393/2007..</t>
  </si>
  <si>
    <t>9V9HYYRY</t>
  </si>
  <si>
    <t>efetuar no dia 1 dia 4 e dia 7 de abril de 2014 a plataforma fpso gracinha Niterói com suas instalações de apoio o descarte continuo de água de processo ou de produção em desacordo com a regulamentação ambiental específica resolução CONAMA 393/2007.</t>
  </si>
  <si>
    <t>MKNLXU8N</t>
  </si>
  <si>
    <t>Efetuar no dia 7 de outubro de 2014 a plataforma fpso Niterói com suas instalações de apoio o descarte contínuo de água de processo ou de produção em desacordo com a regulamentação ambiental específica resolução CONAMA 393/2007.</t>
  </si>
  <si>
    <t>7N9ZX7OA</t>
  </si>
  <si>
    <t>Impedir regeneração natural em 86,67 hectares de vegetação nativa (campo) localizada no bioma Mata Atlântica, objetivo de especial preservação, através da substituição da vegetação nativa por espécie exótica (pinus), em área de Unidade de Conservação (Refúgio da Vida Silvestre dos Campos de Palmas.</t>
  </si>
  <si>
    <t>Airton Bernardo Roveda</t>
  </si>
  <si>
    <t>Fazenda Horizonte, matrícula xxx, Zona Rural.</t>
  </si>
  <si>
    <t>93, . Decreto Federal 6514/2008.</t>
  </si>
  <si>
    <t>1PVC36KH</t>
  </si>
  <si>
    <t>Transportar 21,86 m³ de madeira serrada em desacordo com a GF3 emitida pela autoridade competente.</t>
  </si>
  <si>
    <t>Severino Pereira Neto</t>
  </si>
  <si>
    <t>no Posto da PRF BR-222  KM 11</t>
  </si>
  <si>
    <t>70 §1º 72 Lei 9605/98; 3º 2,4 47 §1 Decreto 6514/2008.</t>
  </si>
  <si>
    <t>KQ24RHIF</t>
  </si>
  <si>
    <t>Transportar 22,45 m³ de madeira serrada em desacordo com a licença outorgada pela autoridade competente.</t>
  </si>
  <si>
    <t>Transformar madeira oriunda de floresta ou demais formas de vegetação nativa em carvão, para fins industriais, energéticos ou para qualquer outra exploração, econômica ou não, sem licença ou em desacordo com as determinações legais.</t>
  </si>
  <si>
    <t>Francisco das Chagas Ferreira dos Santos</t>
  </si>
  <si>
    <t>35Y94F7T</t>
  </si>
  <si>
    <t>efetuar nos dias 23, 29 e 30 de outubro de 2015 a plataforma p-56 com suas instalações de apoio o descarte continuo de água de processo ou de produção em desacordo com a regulamentação ambiental específica resolução CONAMA 393/2007.</t>
  </si>
  <si>
    <t>TIBJBVAI</t>
  </si>
  <si>
    <t>efetuar no dia 9 de março de 2015 a plataforma p-56 com suas instalações de apoio o descarte contínuo de água de processo ou de produção em desacordo com a regulamentação ambiental específica resolução CONAMA 393/2007.</t>
  </si>
  <si>
    <t>3SGZ4L3V</t>
  </si>
  <si>
    <t>Vender 47,872 M3 de madeira serrada, produto decking, essência Ipê, em desacordo com a guia GF 3, 0022803005643000000260716000000, conforme informação  xxx. Este auto substitui o A.I. 9076623-E.</t>
  </si>
  <si>
    <t>Tabaporã</t>
  </si>
  <si>
    <t>CLEIBSON BOSSA</t>
  </si>
  <si>
    <t>Logradouro Prefeito Antônio Tintino Calado, Bairro Distrito Industrial
Coordenadas Geográficas;
11 g</t>
  </si>
  <si>
    <t>GD41YLBF</t>
  </si>
  <si>
    <t>efetuar no dia 18 de novembro de 2015 a plataforma p-56 com suas instalações de apoio o descarte continuo de água de processo ou de produção em desacordo com a regulamentação ambiental específica resolução CONAMA 393/2007.</t>
  </si>
  <si>
    <t>3 Inc. 2 Decreto 6514/2008; 72 Lei 9605/98; 70 § 1 Lei 9605/98.</t>
  </si>
  <si>
    <t>3B9MNX95</t>
  </si>
  <si>
    <t>efetuar nos dias 7 e 22 de dezembro de 2015 a plataforma p-56 com suas instalações de apoio o descarte continuo de água de processo ou de produção em desacordo com a regulamentação ambiental específica resolução CONAMA 393/2007.</t>
  </si>
  <si>
    <t>N8BIMP1X</t>
  </si>
  <si>
    <t>Impedir a Regeneração natural em 75,07 hectares de vegetação nativa (Campo), localizada no Bioma Mata Atlântica, objeto de especial preservação, através da substituição da vegetação nativa por espécie exótica (Pinus) em área de Unidade de Conservação (Refúgio da Vida Silvestre dos Campos de Palmas.</t>
  </si>
  <si>
    <t>MARTIM FRANCISCO RIBAS</t>
  </si>
  <si>
    <t>Refúgio de vida silvestre dos Campos de Palmas</t>
  </si>
  <si>
    <t>93 Decreto 6514/2008; 48 § 1 Decreto 6514/2008.</t>
  </si>
  <si>
    <t>V2YB5GDS</t>
  </si>
  <si>
    <t>efetuar nos dias 10 e 22 de julho de 2015 a plataforma p-56 com suas instalações de apoio descarte contínuo de água de processo ou de produção em desacordo com a regulamentação ambiental específica resolução CONAMA 393/2007.</t>
  </si>
  <si>
    <t>Plataforma P-56</t>
  </si>
  <si>
    <t>DVM7GDID</t>
  </si>
  <si>
    <t>efetuar nos dias 11, 16, 17 e 19 de fevereiro de 2016 a plataforma p-56 com suas instalações de apoio o descarte continuo de água de processo ou de produção em desacordo com a regulamentação ambiental específica regulação resolução CONAMA 393/2007.</t>
  </si>
  <si>
    <t>V9IZV8M2</t>
  </si>
  <si>
    <t>efetuar nos dias 10 e 28 de janeiro de 2016 a plataforma p-56 com suas instalações de apoio o descarte contínuo de água de processo ou de produção em desacordo com a regulamentação ambiental específica resolução CONAMA 393/2007.</t>
  </si>
  <si>
    <t>Q1RF3AG5</t>
  </si>
  <si>
    <t>efetuar nos dias 13 e 15 e 16 de janeiro de 2015 a plataforma p-56 com suas instalações de apoio o descarte contínuo de água de processo ou de produção em desacordo com a regulamentação ambiental específica resolução CONAMA 393/2007.</t>
  </si>
  <si>
    <t>N77GZBDY</t>
  </si>
  <si>
    <t>efetuar no dia 16 de junho de 2015 a plataforma p-56 com suas instalações de apoio o descarte continuo de água de processo ou de produção em desacordo com a regulamentação ambiental específica resolução CONAMA 393/2007.</t>
  </si>
  <si>
    <t>5SHFUKWP</t>
  </si>
  <si>
    <t>efetuar nos dias 01, 06, 12 e 26 de Maio de 2015 a plataforma p-56 com suas instalações de apoio do descarte continuo de água de processo ou de produção em desacordo com a regulamentação ambiental específica resolução CONAMA 393/2007.</t>
  </si>
  <si>
    <t>ZYYEJADQ</t>
  </si>
  <si>
    <t>Ter em depósito 6,2898 metros cúbicos de madeira serrada das essências Cumaru, Tauari, Guarubatinga, Cupiuba e Ipê sem licença da autoridade ambiental competente.</t>
  </si>
  <si>
    <t>Madeireira Ind. Comércio de Madeiras Do Norte</t>
  </si>
  <si>
    <t>5YEBFX8F</t>
  </si>
  <si>
    <t>Efetuar no dia 15 de agosto de 2015 a Plataforma P56 com suas instalações de apoio o descarte contínuo de água de processo ou de produção, em desacordo com a regulamentação ambiental específica: Resolução CONAMA 393/2007.</t>
  </si>
  <si>
    <t>96BIGVSM</t>
  </si>
  <si>
    <t>Omitir informações no sistema oficial de controle, em relação aos residuos sólidos gerador. Período anos 2015 a 2018</t>
  </si>
  <si>
    <t>São José de Piranhas</t>
  </si>
  <si>
    <t>POSTO ESPINHARAS EIRILI</t>
  </si>
  <si>
    <t>Rodovia PB 275, SN Centro</t>
  </si>
  <si>
    <t>FRRSUC6M</t>
  </si>
  <si>
    <t>Transportar 21,86 metros cúbicos de madeira cerrada, em desacordo com a GF3 n. 444785, conforme TCO n. xxx.</t>
  </si>
  <si>
    <t>BR 222, Km 11 S/N Caucaia-CE</t>
  </si>
  <si>
    <t>EN3959TS</t>
  </si>
  <si>
    <t>Destruir 331,5 hectares de floresta nativa objeto de especial preservação (Floresta Amazônica), sem autorização do órgão ambiental competente.
Carta imagem anexa ao relatório de fiscalização.</t>
  </si>
  <si>
    <t>ARTUR ALVES BATISTA</t>
  </si>
  <si>
    <t>Altamira - PA</t>
  </si>
  <si>
    <t>DES CONTROLE REMOTO XIII</t>
  </si>
  <si>
    <t>DESCUMPRIR EMBARGO DE Nº 485917/C NA ÁREA 72,24 HA OBJETO DO AUTO DE INFRAÇÃO Nº 598751/D.</t>
  </si>
  <si>
    <t>Severiano Melo</t>
  </si>
  <si>
    <t>JOSE RODRIGUES DA SILVA</t>
  </si>
  <si>
    <t>SÍTIO SÃO PAULO, S/N</t>
  </si>
  <si>
    <t>Leve</t>
  </si>
  <si>
    <t>Fazer funcionar atividade potencialmente poluidora (transporte de produto perigoso - ONU 1202), sem a autorização ambiental para o transporte interestadual de produtos perigosos.</t>
  </si>
  <si>
    <t>Araguari</t>
  </si>
  <si>
    <t>COMBOIO SOLUÇÃO LOGISTICA LTDA</t>
  </si>
  <si>
    <t>Posto da PRF - Araguari/MG</t>
  </si>
  <si>
    <t>70 1º 72 II, IV Lei 9605/98; 3 II, IV 66 Decreto 6514/2008.</t>
  </si>
  <si>
    <t>DEIXAR DE ATENDER A NOTIFICAÇÃO Nº 40468/E NO PRAZO EXIGIDO PELA AUTORIDADE AMBIENTAL COMPETENTE.</t>
  </si>
  <si>
    <t>Portalegre</t>
  </si>
  <si>
    <t>RAIMUNDO LUIZ DA SILVA</t>
  </si>
  <si>
    <t>70 1° 72 II Lei 9605/98; 3 II 80 Decreto 6514/2008.</t>
  </si>
  <si>
    <t>TRANSPORTAR 29,40 M DE MADEIRA SERRADA SEM A DEVIDA LICENÇA AMBIENTAL, PARA TODO O TEMPO DE VIAGEM OUTORGADA PELA AUTORIDADE COMPETENTE.</t>
  </si>
  <si>
    <t>Caatinga, Cerrado</t>
  </si>
  <si>
    <t>JK SOBRINHO COMERCIO DE VARIEDADES LTDA</t>
  </si>
  <si>
    <t>PARANAIBA</t>
  </si>
  <si>
    <t>70 1° 72 II,IV Lei 9605/98; 3 II,IV 47 § 1º Decreto 6514/2008.</t>
  </si>
  <si>
    <t>Transporte de 26,450 m3 de madeiras serradas de essência diversas em desacordo com o DOF.</t>
  </si>
  <si>
    <t>Porto Chibatão, município de Manaus/AM</t>
  </si>
  <si>
    <t>Fortuito</t>
  </si>
  <si>
    <t>70 1° 72 II,IV Lei 9605/98; 3º II,IV 47 § 1° Decreto 6514/2008.</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</si>
</sst>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M/YYYY\ HH:MM"/>
    <numFmt numFmtId="165" formatCode="D/M/YYYY"/>
  </numFmts>
  <fonts count="1">
    <font>
      <sz val="11.0"/>
      <color rgb="FF000000"/>
      <name val="Calibri"/>
    </font>
  </fonts>
  <fills count="2">
    <fill>
      <patternFill patternType="none"/>
    </fill>
    <fill>
      <patternFill patternType="lightGray"/>
    </fill>
  </fills>
  <borders count="1">
    <border/>
  </borders>
  <cellStyleXfs count="1">
    <xf borderId="0" fillId="0" fontId="0" numFmtId="0" applyAlignment="1" applyFont="1"/>
  </cellStyleXfs>
  <cellXfs count="5">
    <xf borderId="0" fillId="0" fontId="0" numFmtId="0" xfId="0" applyAlignment="1" applyFont="1">
      <alignment readingOrder="0" shrinkToFit="0" vertical="bottom" wrapText="0"/>
    </xf>
    <xf borderId="0" fillId="0" fontId="0" numFmtId="0" xfId="0" applyAlignment="1" applyFont="1">
      <alignment shrinkToFit="0" vertical="bottom" wrapText="1"/>
    </xf>
    <xf borderId="0" fillId="0" fontId="0" numFmtId="164" xfId="0" applyAlignment="1" applyFont="1" applyNumberFormat="1">
      <alignment shrinkToFit="0" vertical="bottom" wrapText="1"/>
    </xf>
    <xf borderId="0" fillId="0" fontId="0" numFmtId="165" xfId="0" applyAlignment="1" applyFont="1" applyNumberFormat="1">
      <alignment shrinkToFit="0" vertical="bottom" wrapText="1"/>
    </xf>
    <xf borderId="0" fillId="0" fontId="0" numFmtId="11" xfId="0" applyAlignment="1" applyFont="1" applyNumberFormat="1">
      <alignment shrinkToFit="0" vertical="bottom"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3.71"/>
    <col customWidth="1" min="2" max="3" width="15.29"/>
    <col customWidth="1" min="4" max="4" width="17.43"/>
    <col customWidth="1" min="5" max="5" width="14.43"/>
    <col customWidth="1" min="6" max="6" width="13.57"/>
    <col customWidth="1" min="7" max="7" width="13.71"/>
    <col customWidth="1" min="8" max="8" width="14.57"/>
    <col customWidth="1" min="9" max="9" width="23.29"/>
    <col customWidth="1" min="10" max="10" width="26.43"/>
    <col customWidth="1" min="11" max="11" width="24.43"/>
    <col customWidth="1" min="12" max="12" width="26.57"/>
    <col customWidth="1" min="13" max="13" width="247.0"/>
    <col customWidth="1" min="14" max="14" width="63.0"/>
    <col customWidth="1" min="15" max="15" width="40.0"/>
    <col customWidth="1" min="16" max="16" width="27.14"/>
    <col customWidth="1" min="17" max="17" width="21.29"/>
    <col customWidth="1" min="18" max="18" width="16.43"/>
    <col customWidth="1" min="19" max="19" width="51.43"/>
    <col customWidth="1" min="20" max="20" width="18.14"/>
    <col customWidth="1" min="21" max="21" width="32.86"/>
    <col customWidth="1" min="22" max="22" width="8.71"/>
    <col customWidth="1" min="23" max="23" width="17.86"/>
    <col customWidth="1" min="24" max="24" width="36.86"/>
    <col customWidth="1" min="25" max="25" width="22.14"/>
    <col customWidth="1" min="26" max="26" width="203.57"/>
    <col customWidth="1" min="27" max="27" width="97.57"/>
    <col customWidth="1" min="28" max="28" width="22.0"/>
    <col customWidth="1" min="29" max="29" width="17.0"/>
    <col customWidth="1" min="30" max="30" width="20.71"/>
    <col customWidth="1" min="31" max="31" width="16.43"/>
    <col customWidth="1" min="32" max="32" width="19.14"/>
    <col customWidth="1" min="33" max="33" width="18.86"/>
    <col customWidth="1" min="34" max="34" width="142.43"/>
    <col customWidth="1" min="35" max="35" width="20.43"/>
    <col customWidth="1" min="36" max="36" width="24.71"/>
    <col customWidth="1" min="37" max="37" width="33.71"/>
    <col customWidth="1" min="38" max="38" width="19.57"/>
    <col customWidth="1" min="39" max="39" width="19.29"/>
    <col customWidth="1" min="40" max="40" width="43.43"/>
    <col customWidth="1" min="41" max="41" width="21.71"/>
    <col customWidth="1" min="42" max="42" width="20.57"/>
    <col customWidth="1" min="43" max="43" width="23.14"/>
    <col customWidth="1" min="44" max="44" width="187.29"/>
    <col customWidth="1" min="45" max="45" width="123.0"/>
    <col customWidth="1" min="46" max="46" width="28.57"/>
  </cols>
  <sheetData>
    <row r="1" ht="13.5" customHeight="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row>
    <row r="2" ht="13.5" customHeight="1">
      <c r="A2" s="1"/>
      <c r="B2" s="1" t="s">
        <v>46</v>
      </c>
      <c r="C2" s="1" t="s">
        <v>47</v>
      </c>
      <c r="D2" s="1"/>
      <c r="E2" s="1" t="s">
        <v>48</v>
      </c>
      <c r="F2" s="1"/>
      <c r="G2" s="1" t="s">
        <v>49</v>
      </c>
      <c r="H2" s="1" t="s">
        <v>50</v>
      </c>
      <c r="I2" s="1">
        <v>3600.0</v>
      </c>
      <c r="J2" s="1"/>
      <c r="K2" s="1" t="s">
        <v>51</v>
      </c>
      <c r="L2" s="1"/>
      <c r="M2" s="1" t="s">
        <v>52</v>
      </c>
      <c r="N2" s="1" t="s">
        <v>53</v>
      </c>
      <c r="O2" s="1" t="s">
        <v>54</v>
      </c>
      <c r="P2" s="2">
        <v>43830.5622337963</v>
      </c>
      <c r="Q2" s="1" t="s">
        <v>55</v>
      </c>
      <c r="R2" s="1"/>
      <c r="S2" s="1" t="s">
        <v>56</v>
      </c>
      <c r="T2" s="1">
        <v>3518800.0</v>
      </c>
      <c r="U2" s="1" t="s">
        <v>57</v>
      </c>
      <c r="V2" s="1" t="s">
        <v>58</v>
      </c>
      <c r="W2" s="1" t="s">
        <v>59</v>
      </c>
      <c r="X2" s="1"/>
      <c r="Y2" s="1"/>
      <c r="Z2" s="1" t="s">
        <v>60</v>
      </c>
      <c r="AA2" s="1" t="s">
        <v>61</v>
      </c>
      <c r="AB2" s="1" t="str">
        <f>"21562031000106"</f>
        <v>21562031000106</v>
      </c>
      <c r="AC2" s="1"/>
      <c r="AD2" s="1" t="s">
        <v>62</v>
      </c>
      <c r="AE2" s="1"/>
      <c r="AF2" s="1">
        <v>-46.487499</v>
      </c>
      <c r="AG2" s="1">
        <v>-23.425554</v>
      </c>
      <c r="AH2" s="1" t="s">
        <v>63</v>
      </c>
      <c r="AI2" s="1"/>
      <c r="AJ2" s="1" t="s">
        <v>64</v>
      </c>
      <c r="AK2" s="1"/>
      <c r="AL2" s="1"/>
      <c r="AM2" s="1" t="s">
        <v>65</v>
      </c>
      <c r="AN2" s="1"/>
      <c r="AO2" s="1"/>
      <c r="AP2" s="2">
        <v>44049.7272222222</v>
      </c>
      <c r="AQ2" s="1"/>
      <c r="AR2" s="1" t="s">
        <v>66</v>
      </c>
      <c r="AS2" s="1"/>
      <c r="AT2" s="2">
        <v>44269.931099537</v>
      </c>
    </row>
    <row r="3" ht="13.5" customHeight="1">
      <c r="A3" s="1">
        <v>2036188.0</v>
      </c>
      <c r="B3" s="1" t="s">
        <v>67</v>
      </c>
      <c r="C3" s="1" t="s">
        <v>68</v>
      </c>
      <c r="D3" s="1" t="s">
        <v>46</v>
      </c>
      <c r="E3" s="1" t="s">
        <v>69</v>
      </c>
      <c r="F3" s="1"/>
      <c r="G3" s="1" t="s">
        <v>70</v>
      </c>
      <c r="H3" s="1" t="s">
        <v>50</v>
      </c>
      <c r="I3" s="1">
        <v>1500.0</v>
      </c>
      <c r="J3" s="1"/>
      <c r="K3" s="1"/>
      <c r="L3" s="1" t="s">
        <v>64</v>
      </c>
      <c r="M3" s="1" t="s">
        <v>71</v>
      </c>
      <c r="N3" s="1" t="s">
        <v>72</v>
      </c>
      <c r="O3" s="1" t="s">
        <v>73</v>
      </c>
      <c r="P3" s="2">
        <v>43830.5</v>
      </c>
      <c r="Q3" s="1" t="s">
        <v>74</v>
      </c>
      <c r="R3" s="3">
        <v>43847.0</v>
      </c>
      <c r="S3" s="1" t="s">
        <v>56</v>
      </c>
      <c r="T3" s="1">
        <v>3536802.0</v>
      </c>
      <c r="U3" s="1" t="s">
        <v>75</v>
      </c>
      <c r="V3" s="1" t="s">
        <v>58</v>
      </c>
      <c r="W3" s="1" t="s">
        <v>59</v>
      </c>
      <c r="X3" s="1"/>
      <c r="Y3" s="1" t="str">
        <f>"02027000904202014"</f>
        <v>02027000904202014</v>
      </c>
      <c r="Z3" s="1" t="s">
        <v>76</v>
      </c>
      <c r="AA3" s="1" t="s">
        <v>77</v>
      </c>
      <c r="AB3" s="1" t="str">
        <f>"***212798**"</f>
        <v>***212798**</v>
      </c>
      <c r="AC3" s="1"/>
      <c r="AD3" s="1"/>
      <c r="AE3" s="1"/>
      <c r="AF3" s="1">
        <v>-46.668335</v>
      </c>
      <c r="AG3" s="1">
        <v>-23.559721</v>
      </c>
      <c r="AH3" s="1" t="s">
        <v>78</v>
      </c>
      <c r="AI3" s="1"/>
      <c r="AJ3" s="1" t="s">
        <v>64</v>
      </c>
      <c r="AK3" s="1"/>
      <c r="AL3" s="1" t="s">
        <v>79</v>
      </c>
      <c r="AM3" s="1"/>
      <c r="AN3" s="1"/>
      <c r="AO3" s="2">
        <v>43938.0</v>
      </c>
      <c r="AP3" s="2">
        <v>43938.712662037</v>
      </c>
      <c r="AQ3" s="1" t="s">
        <v>80</v>
      </c>
      <c r="AR3" s="1" t="s">
        <v>81</v>
      </c>
      <c r="AS3" s="1" t="s">
        <v>82</v>
      </c>
      <c r="AT3" s="2">
        <v>44269.931099537</v>
      </c>
    </row>
    <row r="4" ht="13.5" customHeight="1">
      <c r="A4" s="1">
        <v>2039240.0</v>
      </c>
      <c r="B4" s="1" t="s">
        <v>67</v>
      </c>
      <c r="C4" s="1" t="s">
        <v>68</v>
      </c>
      <c r="D4" s="1" t="s">
        <v>46</v>
      </c>
      <c r="E4" s="1" t="s">
        <v>83</v>
      </c>
      <c r="F4" s="1"/>
      <c r="G4" s="1" t="s">
        <v>70</v>
      </c>
      <c r="H4" s="1" t="s">
        <v>50</v>
      </c>
      <c r="I4" s="1">
        <v>19000.0</v>
      </c>
      <c r="J4" s="1"/>
      <c r="K4" s="1"/>
      <c r="L4" s="1" t="s">
        <v>64</v>
      </c>
      <c r="M4" s="1" t="s">
        <v>84</v>
      </c>
      <c r="N4" s="1" t="s">
        <v>72</v>
      </c>
      <c r="O4" s="1" t="s">
        <v>73</v>
      </c>
      <c r="P4" s="2">
        <v>43830.5</v>
      </c>
      <c r="Q4" s="1" t="s">
        <v>74</v>
      </c>
      <c r="R4" s="3">
        <v>43846.0</v>
      </c>
      <c r="S4" s="1" t="s">
        <v>56</v>
      </c>
      <c r="T4" s="1">
        <v>3530607.0</v>
      </c>
      <c r="U4" s="1" t="s">
        <v>85</v>
      </c>
      <c r="V4" s="1" t="s">
        <v>58</v>
      </c>
      <c r="W4" s="1" t="s">
        <v>59</v>
      </c>
      <c r="X4" s="1"/>
      <c r="Y4" s="1" t="str">
        <f>"02027001890202056"</f>
        <v>02027001890202056</v>
      </c>
      <c r="Z4" s="1" t="s">
        <v>76</v>
      </c>
      <c r="AA4" s="1" t="s">
        <v>86</v>
      </c>
      <c r="AB4" s="1" t="str">
        <f t="shared" ref="AB4:AB5" si="1">"***167808**"</f>
        <v>***167808**</v>
      </c>
      <c r="AC4" s="1"/>
      <c r="AD4" s="1"/>
      <c r="AE4" s="1"/>
      <c r="AF4" s="1">
        <v>-46.668335</v>
      </c>
      <c r="AG4" s="1">
        <v>-23.559721</v>
      </c>
      <c r="AH4" s="1" t="s">
        <v>87</v>
      </c>
      <c r="AI4" s="1"/>
      <c r="AJ4" s="1" t="s">
        <v>64</v>
      </c>
      <c r="AK4" s="1"/>
      <c r="AL4" s="1" t="s">
        <v>79</v>
      </c>
      <c r="AM4" s="1" t="s">
        <v>65</v>
      </c>
      <c r="AN4" s="1"/>
      <c r="AO4" s="2">
        <v>44057.0</v>
      </c>
      <c r="AP4" s="2">
        <v>44057.4308101852</v>
      </c>
      <c r="AQ4" s="1" t="s">
        <v>80</v>
      </c>
      <c r="AR4" s="1" t="s">
        <v>81</v>
      </c>
      <c r="AS4" s="1" t="s">
        <v>88</v>
      </c>
      <c r="AT4" s="2">
        <v>44269.931099537</v>
      </c>
    </row>
    <row r="5" ht="13.5" customHeight="1">
      <c r="A5" s="1">
        <v>2041283.0</v>
      </c>
      <c r="B5" s="1" t="s">
        <v>67</v>
      </c>
      <c r="C5" s="1" t="s">
        <v>89</v>
      </c>
      <c r="D5" s="1" t="s">
        <v>67</v>
      </c>
      <c r="E5" s="1" t="s">
        <v>90</v>
      </c>
      <c r="F5" s="1"/>
      <c r="G5" s="1" t="s">
        <v>70</v>
      </c>
      <c r="H5" s="1" t="s">
        <v>50</v>
      </c>
      <c r="I5" s="1">
        <v>1500.0</v>
      </c>
      <c r="J5" s="1"/>
      <c r="K5" s="1"/>
      <c r="L5" s="1" t="s">
        <v>64</v>
      </c>
      <c r="M5" s="1" t="s">
        <v>91</v>
      </c>
      <c r="N5" s="1" t="s">
        <v>72</v>
      </c>
      <c r="O5" s="1" t="s">
        <v>73</v>
      </c>
      <c r="P5" s="2">
        <v>43830.5</v>
      </c>
      <c r="Q5" s="1" t="s">
        <v>74</v>
      </c>
      <c r="R5" s="3">
        <v>43846.0</v>
      </c>
      <c r="S5" s="1" t="s">
        <v>56</v>
      </c>
      <c r="T5" s="1">
        <v>3530607.0</v>
      </c>
      <c r="U5" s="1" t="s">
        <v>85</v>
      </c>
      <c r="V5" s="1" t="s">
        <v>58</v>
      </c>
      <c r="W5" s="1" t="s">
        <v>59</v>
      </c>
      <c r="X5" s="1"/>
      <c r="Y5" s="1" t="str">
        <f>"02027001879202096"</f>
        <v>02027001879202096</v>
      </c>
      <c r="Z5" s="1" t="s">
        <v>76</v>
      </c>
      <c r="AA5" s="1" t="s">
        <v>86</v>
      </c>
      <c r="AB5" s="1" t="str">
        <f t="shared" si="1"/>
        <v>***167808**</v>
      </c>
      <c r="AC5" s="1"/>
      <c r="AD5" s="1"/>
      <c r="AE5" s="1"/>
      <c r="AF5" s="1">
        <v>-46.668335</v>
      </c>
      <c r="AG5" s="1">
        <v>-23.559721</v>
      </c>
      <c r="AH5" s="1" t="s">
        <v>87</v>
      </c>
      <c r="AI5" s="1"/>
      <c r="AJ5" s="1" t="s">
        <v>64</v>
      </c>
      <c r="AK5" s="1"/>
      <c r="AL5" s="1" t="s">
        <v>79</v>
      </c>
      <c r="AM5" s="1" t="s">
        <v>65</v>
      </c>
      <c r="AN5" s="1"/>
      <c r="AO5" s="2">
        <v>44159.0</v>
      </c>
      <c r="AP5" s="2">
        <v>44229.7253472222</v>
      </c>
      <c r="AQ5" s="1" t="s">
        <v>89</v>
      </c>
      <c r="AR5" s="1" t="s">
        <v>81</v>
      </c>
      <c r="AS5" s="1" t="s">
        <v>88</v>
      </c>
      <c r="AT5" s="2">
        <v>44269.931099537</v>
      </c>
    </row>
    <row r="6" ht="13.5" customHeight="1">
      <c r="A6" s="1"/>
      <c r="B6" s="1" t="s">
        <v>46</v>
      </c>
      <c r="C6" s="1" t="s">
        <v>47</v>
      </c>
      <c r="D6" s="1"/>
      <c r="E6" s="1" t="s">
        <v>92</v>
      </c>
      <c r="F6" s="1"/>
      <c r="G6" s="1" t="s">
        <v>49</v>
      </c>
      <c r="H6" s="1" t="s">
        <v>93</v>
      </c>
      <c r="I6" s="1">
        <v>1500.0</v>
      </c>
      <c r="J6" s="1"/>
      <c r="K6" s="1"/>
      <c r="L6" s="1"/>
      <c r="M6" s="1" t="s">
        <v>94</v>
      </c>
      <c r="N6" s="1" t="s">
        <v>95</v>
      </c>
      <c r="O6" s="1" t="s">
        <v>96</v>
      </c>
      <c r="P6" s="2">
        <v>43829.7091087963</v>
      </c>
      <c r="Q6" s="1" t="s">
        <v>74</v>
      </c>
      <c r="R6" s="3">
        <v>43829.0</v>
      </c>
      <c r="S6" s="1" t="s">
        <v>56</v>
      </c>
      <c r="T6" s="1">
        <v>3509502.0</v>
      </c>
      <c r="U6" s="1" t="s">
        <v>97</v>
      </c>
      <c r="V6" s="1" t="s">
        <v>58</v>
      </c>
      <c r="W6" s="1" t="s">
        <v>59</v>
      </c>
      <c r="X6" s="1"/>
      <c r="Y6" s="1"/>
      <c r="Z6" s="1" t="s">
        <v>98</v>
      </c>
      <c r="AA6" s="1" t="s">
        <v>99</v>
      </c>
      <c r="AB6" s="1" t="str">
        <f>"***745248**"</f>
        <v>***745248**</v>
      </c>
      <c r="AC6" s="1"/>
      <c r="AD6" s="1" t="s">
        <v>62</v>
      </c>
      <c r="AE6" s="1"/>
      <c r="AF6" s="1">
        <v>-47.144169</v>
      </c>
      <c r="AG6" s="1">
        <v>-23.007778</v>
      </c>
      <c r="AH6" s="1" t="s">
        <v>100</v>
      </c>
      <c r="AI6" s="1"/>
      <c r="AJ6" s="1" t="s">
        <v>101</v>
      </c>
      <c r="AK6" s="1"/>
      <c r="AL6" s="1"/>
      <c r="AM6" s="1" t="s">
        <v>65</v>
      </c>
      <c r="AN6" s="1" t="s">
        <v>102</v>
      </c>
      <c r="AO6" s="1"/>
      <c r="AP6" s="2">
        <v>43829.7213657407</v>
      </c>
      <c r="AQ6" s="1"/>
      <c r="AR6" s="1" t="s">
        <v>103</v>
      </c>
      <c r="AS6" s="1" t="s">
        <v>104</v>
      </c>
      <c r="AT6" s="2">
        <v>44269.931099537</v>
      </c>
    </row>
    <row r="7" ht="13.5" customHeight="1">
      <c r="A7" s="1">
        <v>2036277.0</v>
      </c>
      <c r="B7" s="1" t="s">
        <v>67</v>
      </c>
      <c r="C7" s="1" t="s">
        <v>68</v>
      </c>
      <c r="D7" s="1" t="s">
        <v>46</v>
      </c>
      <c r="E7" s="1" t="s">
        <v>105</v>
      </c>
      <c r="F7" s="1"/>
      <c r="G7" s="1" t="s">
        <v>70</v>
      </c>
      <c r="H7" s="1" t="s">
        <v>93</v>
      </c>
      <c r="I7" s="1">
        <v>1000.0</v>
      </c>
      <c r="J7" s="1"/>
      <c r="K7" s="1"/>
      <c r="L7" s="1" t="s">
        <v>106</v>
      </c>
      <c r="M7" s="1" t="s">
        <v>107</v>
      </c>
      <c r="N7" s="1" t="s">
        <v>108</v>
      </c>
      <c r="O7" s="1" t="s">
        <v>109</v>
      </c>
      <c r="P7" s="2">
        <v>43829.6951388889</v>
      </c>
      <c r="Q7" s="1" t="s">
        <v>74</v>
      </c>
      <c r="R7" s="1"/>
      <c r="S7" s="1" t="s">
        <v>110</v>
      </c>
      <c r="T7" s="1">
        <v>2304400.0</v>
      </c>
      <c r="U7" s="1" t="s">
        <v>111</v>
      </c>
      <c r="V7" s="1" t="s">
        <v>112</v>
      </c>
      <c r="W7" s="1" t="s">
        <v>113</v>
      </c>
      <c r="X7" s="1"/>
      <c r="Y7" s="1" t="str">
        <f>"02007000585202085"</f>
        <v>02007000585202085</v>
      </c>
      <c r="Z7" s="1" t="s">
        <v>114</v>
      </c>
      <c r="AA7" s="1" t="s">
        <v>115</v>
      </c>
      <c r="AB7" s="1" t="str">
        <f>"07577570000198"</f>
        <v>07577570000198</v>
      </c>
      <c r="AC7" s="1"/>
      <c r="AD7" s="1" t="s">
        <v>116</v>
      </c>
      <c r="AE7" s="1"/>
      <c r="AF7" s="1">
        <v>0.0</v>
      </c>
      <c r="AG7" s="1">
        <v>0.0</v>
      </c>
      <c r="AH7" s="1" t="s">
        <v>117</v>
      </c>
      <c r="AI7" s="1"/>
      <c r="AJ7" s="1"/>
      <c r="AK7" s="1"/>
      <c r="AL7" s="1" t="s">
        <v>118</v>
      </c>
      <c r="AM7" s="1"/>
      <c r="AN7" s="1"/>
      <c r="AO7" s="2">
        <v>43944.4455787037</v>
      </c>
      <c r="AP7" s="2">
        <v>43944.4455787037</v>
      </c>
      <c r="AQ7" s="1" t="s">
        <v>80</v>
      </c>
      <c r="AR7" s="1" t="s">
        <v>119</v>
      </c>
      <c r="AS7" s="1"/>
      <c r="AT7" s="2">
        <v>44269.931099537</v>
      </c>
    </row>
    <row r="8" ht="13.5" customHeight="1">
      <c r="A8" s="1"/>
      <c r="B8" s="1" t="s">
        <v>46</v>
      </c>
      <c r="C8" s="1" t="s">
        <v>47</v>
      </c>
      <c r="D8" s="1"/>
      <c r="E8" s="1" t="s">
        <v>120</v>
      </c>
      <c r="F8" s="1"/>
      <c r="G8" s="1" t="s">
        <v>121</v>
      </c>
      <c r="H8" s="1" t="s">
        <v>50</v>
      </c>
      <c r="I8" s="1"/>
      <c r="J8" s="1"/>
      <c r="K8" s="1"/>
      <c r="L8" s="1"/>
      <c r="M8" s="1" t="s">
        <v>122</v>
      </c>
      <c r="N8" s="1" t="s">
        <v>123</v>
      </c>
      <c r="O8" s="1" t="s">
        <v>73</v>
      </c>
      <c r="P8" s="2">
        <v>43829.6128125</v>
      </c>
      <c r="Q8" s="1"/>
      <c r="R8" s="1"/>
      <c r="S8" s="1" t="s">
        <v>124</v>
      </c>
      <c r="T8" s="1">
        <v>3158003.0</v>
      </c>
      <c r="U8" s="1" t="s">
        <v>125</v>
      </c>
      <c r="V8" s="1" t="s">
        <v>126</v>
      </c>
      <c r="W8" s="1" t="s">
        <v>127</v>
      </c>
      <c r="X8" s="1"/>
      <c r="Y8" s="1"/>
      <c r="Z8" s="1" t="s">
        <v>128</v>
      </c>
      <c r="AA8" s="1" t="s">
        <v>129</v>
      </c>
      <c r="AB8" s="1" t="str">
        <f>"***034436**"</f>
        <v>***034436**</v>
      </c>
      <c r="AC8" s="1"/>
      <c r="AD8" s="1" t="s">
        <v>62</v>
      </c>
      <c r="AE8" s="1"/>
      <c r="AF8" s="1">
        <v>-43.117664</v>
      </c>
      <c r="AG8" s="1">
        <v>-19.442499</v>
      </c>
      <c r="AH8" s="1" t="s">
        <v>130</v>
      </c>
      <c r="AI8" s="1"/>
      <c r="AJ8" s="1" t="s">
        <v>131</v>
      </c>
      <c r="AK8" s="1"/>
      <c r="AL8" s="1"/>
      <c r="AM8" s="1" t="s">
        <v>65</v>
      </c>
      <c r="AN8" s="1" t="s">
        <v>132</v>
      </c>
      <c r="AO8" s="1"/>
      <c r="AP8" s="2">
        <v>44076.7259953704</v>
      </c>
      <c r="AQ8" s="1"/>
      <c r="AR8" s="1" t="s">
        <v>133</v>
      </c>
      <c r="AS8" s="1" t="s">
        <v>134</v>
      </c>
      <c r="AT8" s="2">
        <v>44269.931099537</v>
      </c>
    </row>
    <row r="9" ht="13.5" customHeight="1">
      <c r="A9" s="1"/>
      <c r="B9" s="1" t="s">
        <v>46</v>
      </c>
      <c r="C9" s="1" t="s">
        <v>47</v>
      </c>
      <c r="D9" s="1"/>
      <c r="E9" s="1" t="s">
        <v>135</v>
      </c>
      <c r="F9" s="1"/>
      <c r="G9" s="1" t="s">
        <v>121</v>
      </c>
      <c r="H9" s="1" t="s">
        <v>50</v>
      </c>
      <c r="I9" s="1"/>
      <c r="J9" s="1"/>
      <c r="K9" s="1"/>
      <c r="L9" s="1"/>
      <c r="M9" s="1" t="s">
        <v>122</v>
      </c>
      <c r="N9" s="1" t="s">
        <v>123</v>
      </c>
      <c r="O9" s="1" t="s">
        <v>73</v>
      </c>
      <c r="P9" s="2">
        <v>43829.5887384259</v>
      </c>
      <c r="Q9" s="1"/>
      <c r="R9" s="1"/>
      <c r="S9" s="1" t="s">
        <v>124</v>
      </c>
      <c r="T9" s="1">
        <v>3147105.0</v>
      </c>
      <c r="U9" s="1" t="s">
        <v>136</v>
      </c>
      <c r="V9" s="1" t="s">
        <v>126</v>
      </c>
      <c r="W9" s="1" t="s">
        <v>127</v>
      </c>
      <c r="X9" s="1"/>
      <c r="Y9" s="1"/>
      <c r="Z9" s="1" t="s">
        <v>128</v>
      </c>
      <c r="AA9" s="1" t="s">
        <v>137</v>
      </c>
      <c r="AB9" s="1" t="str">
        <f>"***925706**"</f>
        <v>***925706**</v>
      </c>
      <c r="AC9" s="1"/>
      <c r="AD9" s="1" t="s">
        <v>62</v>
      </c>
      <c r="AE9" s="1"/>
      <c r="AF9" s="1">
        <v>-44.598473</v>
      </c>
      <c r="AG9" s="1">
        <v>-19.827362</v>
      </c>
      <c r="AH9" s="1" t="s">
        <v>138</v>
      </c>
      <c r="AI9" s="1"/>
      <c r="AJ9" s="1" t="s">
        <v>131</v>
      </c>
      <c r="AK9" s="1"/>
      <c r="AL9" s="1"/>
      <c r="AM9" s="1" t="s">
        <v>65</v>
      </c>
      <c r="AN9" s="1" t="s">
        <v>132</v>
      </c>
      <c r="AO9" s="1"/>
      <c r="AP9" s="2">
        <v>44076.7262731482</v>
      </c>
      <c r="AQ9" s="1"/>
      <c r="AR9" s="1" t="s">
        <v>133</v>
      </c>
      <c r="AS9" s="1" t="s">
        <v>134</v>
      </c>
      <c r="AT9" s="2">
        <v>44269.931099537</v>
      </c>
    </row>
    <row r="10" ht="13.5" customHeight="1">
      <c r="A10" s="1"/>
      <c r="B10" s="1" t="s">
        <v>46</v>
      </c>
      <c r="C10" s="1" t="s">
        <v>47</v>
      </c>
      <c r="D10" s="1"/>
      <c r="E10" s="1" t="s">
        <v>139</v>
      </c>
      <c r="F10" s="1"/>
      <c r="G10" s="1" t="s">
        <v>49</v>
      </c>
      <c r="H10" s="1" t="s">
        <v>93</v>
      </c>
      <c r="I10" s="1">
        <v>60800.0</v>
      </c>
      <c r="J10" s="1"/>
      <c r="K10" s="1" t="s">
        <v>140</v>
      </c>
      <c r="L10" s="1"/>
      <c r="M10" s="1" t="s">
        <v>141</v>
      </c>
      <c r="N10" s="1" t="s">
        <v>142</v>
      </c>
      <c r="O10" s="1" t="s">
        <v>143</v>
      </c>
      <c r="P10" s="2">
        <v>43829.5579861111</v>
      </c>
      <c r="Q10" s="1" t="s">
        <v>74</v>
      </c>
      <c r="R10" s="1"/>
      <c r="S10" s="1" t="s">
        <v>110</v>
      </c>
      <c r="T10" s="1">
        <v>4317103.0</v>
      </c>
      <c r="U10" s="1" t="s">
        <v>144</v>
      </c>
      <c r="V10" s="1" t="s">
        <v>145</v>
      </c>
      <c r="W10" s="1" t="s">
        <v>146</v>
      </c>
      <c r="X10" s="1"/>
      <c r="Y10" s="1"/>
      <c r="Z10" s="1" t="s">
        <v>147</v>
      </c>
      <c r="AA10" s="1" t="s">
        <v>148</v>
      </c>
      <c r="AB10" s="1" t="str">
        <f>"***316490**"</f>
        <v>***316490**</v>
      </c>
      <c r="AC10" s="1"/>
      <c r="AD10" s="1" t="s">
        <v>149</v>
      </c>
      <c r="AE10" s="1"/>
      <c r="AF10" s="1">
        <v>-55.536388</v>
      </c>
      <c r="AG10" s="1">
        <v>-30.877777</v>
      </c>
      <c r="AH10" s="1" t="s">
        <v>150</v>
      </c>
      <c r="AI10" s="1"/>
      <c r="AJ10" s="1" t="s">
        <v>151</v>
      </c>
      <c r="AK10" s="1"/>
      <c r="AL10" s="1"/>
      <c r="AM10" s="1" t="s">
        <v>65</v>
      </c>
      <c r="AN10" s="1" t="s">
        <v>152</v>
      </c>
      <c r="AO10" s="1"/>
      <c r="AP10" s="2">
        <v>43829.7963425926</v>
      </c>
      <c r="AQ10" s="1"/>
      <c r="AR10" s="1" t="s">
        <v>153</v>
      </c>
      <c r="AS10" s="1"/>
      <c r="AT10" s="2">
        <v>44269.931099537</v>
      </c>
    </row>
    <row r="11" ht="13.5" customHeight="1">
      <c r="A11" s="1"/>
      <c r="B11" s="1" t="s">
        <v>46</v>
      </c>
      <c r="C11" s="1" t="s">
        <v>47</v>
      </c>
      <c r="D11" s="1"/>
      <c r="E11" s="1" t="s">
        <v>154</v>
      </c>
      <c r="F11" s="1"/>
      <c r="G11" s="1" t="s">
        <v>49</v>
      </c>
      <c r="H11" s="1" t="s">
        <v>50</v>
      </c>
      <c r="I11" s="1">
        <v>5000.0</v>
      </c>
      <c r="J11" s="1"/>
      <c r="K11" s="1" t="s">
        <v>51</v>
      </c>
      <c r="L11" s="1"/>
      <c r="M11" s="1" t="s">
        <v>155</v>
      </c>
      <c r="N11" s="1" t="s">
        <v>142</v>
      </c>
      <c r="O11" s="1" t="s">
        <v>143</v>
      </c>
      <c r="P11" s="2">
        <v>43829.5507291667</v>
      </c>
      <c r="Q11" s="1" t="s">
        <v>74</v>
      </c>
      <c r="R11" s="3">
        <v>43829.0</v>
      </c>
      <c r="S11" s="1" t="s">
        <v>124</v>
      </c>
      <c r="T11" s="1">
        <v>3153202.0</v>
      </c>
      <c r="U11" s="1" t="s">
        <v>156</v>
      </c>
      <c r="V11" s="1" t="s">
        <v>126</v>
      </c>
      <c r="W11" s="1" t="s">
        <v>127</v>
      </c>
      <c r="X11" s="1"/>
      <c r="Y11" s="1"/>
      <c r="Z11" s="1" t="s">
        <v>147</v>
      </c>
      <c r="AA11" s="1" t="s">
        <v>157</v>
      </c>
      <c r="AB11" s="1" t="str">
        <f>"***519896**"</f>
        <v>***519896**</v>
      </c>
      <c r="AC11" s="1"/>
      <c r="AD11" s="1" t="s">
        <v>116</v>
      </c>
      <c r="AE11" s="1"/>
      <c r="AF11" s="1">
        <v>-44.066418</v>
      </c>
      <c r="AG11" s="1">
        <v>-18.580362</v>
      </c>
      <c r="AH11" s="1" t="s">
        <v>158</v>
      </c>
      <c r="AI11" s="1"/>
      <c r="AJ11" s="1" t="s">
        <v>131</v>
      </c>
      <c r="AK11" s="1"/>
      <c r="AL11" s="1"/>
      <c r="AM11" s="1" t="s">
        <v>65</v>
      </c>
      <c r="AN11" s="1" t="s">
        <v>132</v>
      </c>
      <c r="AO11" s="1"/>
      <c r="AP11" s="2">
        <v>44076.7263657407</v>
      </c>
      <c r="AQ11" s="1"/>
      <c r="AR11" s="1" t="s">
        <v>159</v>
      </c>
      <c r="AS11" s="1"/>
      <c r="AT11" s="2">
        <v>44269.931099537</v>
      </c>
    </row>
    <row r="12" ht="13.5" customHeight="1">
      <c r="A12" s="1"/>
      <c r="B12" s="1" t="s">
        <v>46</v>
      </c>
      <c r="C12" s="1" t="s">
        <v>47</v>
      </c>
      <c r="D12" s="1"/>
      <c r="E12" s="1" t="s">
        <v>160</v>
      </c>
      <c r="F12" s="1"/>
      <c r="G12" s="1" t="s">
        <v>49</v>
      </c>
      <c r="H12" s="1" t="s">
        <v>93</v>
      </c>
      <c r="I12" s="1">
        <v>462000.0</v>
      </c>
      <c r="J12" s="1"/>
      <c r="K12" s="1"/>
      <c r="L12" s="1"/>
      <c r="M12" s="1" t="s">
        <v>161</v>
      </c>
      <c r="N12" s="1" t="s">
        <v>142</v>
      </c>
      <c r="O12" s="1" t="s">
        <v>143</v>
      </c>
      <c r="P12" s="2">
        <v>43829.4195601852</v>
      </c>
      <c r="Q12" s="1" t="s">
        <v>74</v>
      </c>
      <c r="R12" s="3">
        <v>43889.0</v>
      </c>
      <c r="S12" s="1" t="s">
        <v>162</v>
      </c>
      <c r="T12" s="1">
        <v>5106828.0</v>
      </c>
      <c r="U12" s="1" t="s">
        <v>163</v>
      </c>
      <c r="V12" s="1" t="s">
        <v>164</v>
      </c>
      <c r="W12" s="1" t="s">
        <v>127</v>
      </c>
      <c r="X12" s="1"/>
      <c r="Y12" s="1"/>
      <c r="Z12" s="1" t="s">
        <v>147</v>
      </c>
      <c r="AA12" s="1" t="s">
        <v>165</v>
      </c>
      <c r="AB12" s="1" t="str">
        <f>"***502781**"</f>
        <v>***502781**</v>
      </c>
      <c r="AC12" s="1"/>
      <c r="AD12" s="1" t="s">
        <v>116</v>
      </c>
      <c r="AE12" s="1"/>
      <c r="AF12" s="1">
        <v>-59.662781</v>
      </c>
      <c r="AG12" s="1">
        <v>-16.182777</v>
      </c>
      <c r="AH12" s="1" t="s">
        <v>166</v>
      </c>
      <c r="AI12" s="1"/>
      <c r="AJ12" s="1" t="s">
        <v>167</v>
      </c>
      <c r="AK12" s="1"/>
      <c r="AL12" s="1"/>
      <c r="AM12" s="1" t="s">
        <v>65</v>
      </c>
      <c r="AN12" s="1" t="s">
        <v>168</v>
      </c>
      <c r="AO12" s="1"/>
      <c r="AP12" s="2">
        <v>43832.3330671296</v>
      </c>
      <c r="AQ12" s="1"/>
      <c r="AR12" s="1" t="s">
        <v>169</v>
      </c>
      <c r="AS12" s="1" t="s">
        <v>170</v>
      </c>
      <c r="AT12" s="2">
        <v>44269.931099537</v>
      </c>
    </row>
    <row r="13" ht="13.5" customHeight="1">
      <c r="A13" s="1">
        <v>2038005.0</v>
      </c>
      <c r="B13" s="1" t="s">
        <v>67</v>
      </c>
      <c r="C13" s="1" t="s">
        <v>68</v>
      </c>
      <c r="D13" s="1" t="s">
        <v>46</v>
      </c>
      <c r="E13" s="1" t="s">
        <v>171</v>
      </c>
      <c r="F13" s="1"/>
      <c r="G13" s="1" t="s">
        <v>70</v>
      </c>
      <c r="H13" s="1" t="s">
        <v>93</v>
      </c>
      <c r="I13" s="1">
        <v>73844.88</v>
      </c>
      <c r="J13" s="1"/>
      <c r="K13" s="1"/>
      <c r="L13" s="1" t="s">
        <v>172</v>
      </c>
      <c r="M13" s="1" t="s">
        <v>173</v>
      </c>
      <c r="N13" s="1" t="s">
        <v>142</v>
      </c>
      <c r="O13" s="1" t="s">
        <v>143</v>
      </c>
      <c r="P13" s="2">
        <v>43826.7916666667</v>
      </c>
      <c r="Q13" s="1" t="s">
        <v>74</v>
      </c>
      <c r="R13" s="1"/>
      <c r="S13" s="1" t="s">
        <v>174</v>
      </c>
      <c r="T13" s="1">
        <v>4108452.0</v>
      </c>
      <c r="U13" s="1" t="s">
        <v>175</v>
      </c>
      <c r="V13" s="1" t="s">
        <v>176</v>
      </c>
      <c r="W13" s="1" t="s">
        <v>177</v>
      </c>
      <c r="X13" s="1"/>
      <c r="Y13" s="1" t="str">
        <f>"02001000093202040"</f>
        <v>02001000093202040</v>
      </c>
      <c r="Z13" s="1" t="s">
        <v>147</v>
      </c>
      <c r="AA13" s="1" t="s">
        <v>178</v>
      </c>
      <c r="AB13" s="1" t="str">
        <f>"04015317000152"</f>
        <v>04015317000152</v>
      </c>
      <c r="AC13" s="1"/>
      <c r="AD13" s="1"/>
      <c r="AE13" s="1"/>
      <c r="AF13" s="1">
        <v>-54.585831</v>
      </c>
      <c r="AG13" s="1">
        <v>-25.549444</v>
      </c>
      <c r="AH13" s="1" t="s">
        <v>179</v>
      </c>
      <c r="AI13" s="1">
        <v>643583.0</v>
      </c>
      <c r="AJ13" s="1" t="s">
        <v>172</v>
      </c>
      <c r="AK13" s="1"/>
      <c r="AL13" s="1" t="s">
        <v>79</v>
      </c>
      <c r="AM13" s="1" t="s">
        <v>65</v>
      </c>
      <c r="AN13" s="1" t="s">
        <v>180</v>
      </c>
      <c r="AO13" s="2">
        <v>44018.0</v>
      </c>
      <c r="AP13" s="2">
        <v>44018.6834837963</v>
      </c>
      <c r="AQ13" s="1" t="s">
        <v>80</v>
      </c>
      <c r="AR13" s="1" t="s">
        <v>181</v>
      </c>
      <c r="AS13" s="1"/>
      <c r="AT13" s="2">
        <v>44269.931099537</v>
      </c>
    </row>
    <row r="14" ht="13.5" customHeight="1">
      <c r="A14" s="1">
        <v>2038277.0</v>
      </c>
      <c r="B14" s="1" t="s">
        <v>67</v>
      </c>
      <c r="C14" s="1" t="s">
        <v>68</v>
      </c>
      <c r="D14" s="1" t="s">
        <v>46</v>
      </c>
      <c r="E14" s="1" t="s">
        <v>182</v>
      </c>
      <c r="F14" s="1"/>
      <c r="G14" s="1" t="s">
        <v>70</v>
      </c>
      <c r="H14" s="1" t="s">
        <v>50</v>
      </c>
      <c r="I14" s="1">
        <v>11500.0</v>
      </c>
      <c r="J14" s="1"/>
      <c r="K14" s="1"/>
      <c r="L14" s="1" t="s">
        <v>172</v>
      </c>
      <c r="M14" s="1" t="s">
        <v>183</v>
      </c>
      <c r="N14" s="1" t="s">
        <v>72</v>
      </c>
      <c r="O14" s="1" t="s">
        <v>73</v>
      </c>
      <c r="P14" s="2">
        <v>43826.7916666667</v>
      </c>
      <c r="Q14" s="1" t="s">
        <v>74</v>
      </c>
      <c r="R14" s="1"/>
      <c r="S14" s="1" t="s">
        <v>184</v>
      </c>
      <c r="T14" s="1">
        <v>1400100.0</v>
      </c>
      <c r="U14" s="1" t="s">
        <v>185</v>
      </c>
      <c r="V14" s="1" t="s">
        <v>186</v>
      </c>
      <c r="W14" s="1" t="s">
        <v>177</v>
      </c>
      <c r="X14" s="1"/>
      <c r="Y14" s="1" t="str">
        <f>"02001000080202071"</f>
        <v>02001000080202071</v>
      </c>
      <c r="Z14" s="1" t="s">
        <v>76</v>
      </c>
      <c r="AA14" s="1" t="s">
        <v>187</v>
      </c>
      <c r="AB14" s="1" t="str">
        <f>"***692132**"</f>
        <v>***692132**</v>
      </c>
      <c r="AC14" s="1"/>
      <c r="AD14" s="1"/>
      <c r="AE14" s="1"/>
      <c r="AF14" s="1">
        <v>-60.766666</v>
      </c>
      <c r="AG14" s="1">
        <v>-2.767778</v>
      </c>
      <c r="AH14" s="1" t="s">
        <v>179</v>
      </c>
      <c r="AI14" s="1">
        <v>643583.0</v>
      </c>
      <c r="AJ14" s="1" t="s">
        <v>172</v>
      </c>
      <c r="AK14" s="1"/>
      <c r="AL14" s="1" t="s">
        <v>79</v>
      </c>
      <c r="AM14" s="1" t="s">
        <v>65</v>
      </c>
      <c r="AN14" s="1" t="s">
        <v>180</v>
      </c>
      <c r="AO14" s="2">
        <v>44028.0</v>
      </c>
      <c r="AP14" s="2">
        <v>44028.6766087963</v>
      </c>
      <c r="AQ14" s="1" t="s">
        <v>80</v>
      </c>
      <c r="AR14" s="1" t="s">
        <v>188</v>
      </c>
      <c r="AS14" s="1"/>
      <c r="AT14" s="2">
        <v>44269.931099537</v>
      </c>
    </row>
    <row r="15" ht="13.5" customHeight="1">
      <c r="A15" s="1"/>
      <c r="B15" s="1" t="s">
        <v>46</v>
      </c>
      <c r="C15" s="1" t="s">
        <v>47</v>
      </c>
      <c r="D15" s="1"/>
      <c r="E15" s="1" t="s">
        <v>189</v>
      </c>
      <c r="F15" s="1"/>
      <c r="G15" s="1" t="s">
        <v>49</v>
      </c>
      <c r="H15" s="1" t="s">
        <v>50</v>
      </c>
      <c r="I15" s="1">
        <v>500.0</v>
      </c>
      <c r="J15" s="1"/>
      <c r="K15" s="1" t="s">
        <v>51</v>
      </c>
      <c r="L15" s="1"/>
      <c r="M15" s="1" t="s">
        <v>190</v>
      </c>
      <c r="N15" s="1" t="s">
        <v>123</v>
      </c>
      <c r="O15" s="1" t="s">
        <v>73</v>
      </c>
      <c r="P15" s="2">
        <v>43826.7750347222</v>
      </c>
      <c r="Q15" s="1" t="s">
        <v>74</v>
      </c>
      <c r="R15" s="1"/>
      <c r="S15" s="1" t="s">
        <v>191</v>
      </c>
      <c r="T15" s="1">
        <v>1501402.0</v>
      </c>
      <c r="U15" s="1" t="s">
        <v>192</v>
      </c>
      <c r="V15" s="1" t="s">
        <v>193</v>
      </c>
      <c r="W15" s="1" t="s">
        <v>177</v>
      </c>
      <c r="X15" s="1"/>
      <c r="Y15" s="1"/>
      <c r="Z15" s="1" t="s">
        <v>76</v>
      </c>
      <c r="AA15" s="1" t="s">
        <v>194</v>
      </c>
      <c r="AB15" s="1" t="str">
        <f>"***548852**"</f>
        <v>***548852**</v>
      </c>
      <c r="AC15" s="1"/>
      <c r="AD15" s="1" t="s">
        <v>149</v>
      </c>
      <c r="AE15" s="1"/>
      <c r="AF15" s="1">
        <v>-48.59639</v>
      </c>
      <c r="AG15" s="1">
        <v>-1.378333</v>
      </c>
      <c r="AH15" s="1" t="s">
        <v>195</v>
      </c>
      <c r="AI15" s="1"/>
      <c r="AJ15" s="1" t="s">
        <v>196</v>
      </c>
      <c r="AK15" s="1"/>
      <c r="AL15" s="1"/>
      <c r="AM15" s="1" t="s">
        <v>65</v>
      </c>
      <c r="AN15" s="1" t="s">
        <v>197</v>
      </c>
      <c r="AO15" s="1"/>
      <c r="AP15" s="2">
        <v>43830.486712963</v>
      </c>
      <c r="AQ15" s="1"/>
      <c r="AR15" s="1" t="s">
        <v>198</v>
      </c>
      <c r="AS15" s="1" t="s">
        <v>199</v>
      </c>
      <c r="AT15" s="2">
        <v>44269.931099537</v>
      </c>
    </row>
    <row r="16" ht="13.5" customHeight="1">
      <c r="A16" s="1">
        <v>2038278.0</v>
      </c>
      <c r="B16" s="1" t="s">
        <v>67</v>
      </c>
      <c r="C16" s="1" t="s">
        <v>68</v>
      </c>
      <c r="D16" s="1" t="s">
        <v>46</v>
      </c>
      <c r="E16" s="1" t="s">
        <v>200</v>
      </c>
      <c r="F16" s="1"/>
      <c r="G16" s="1" t="s">
        <v>70</v>
      </c>
      <c r="H16" s="1" t="s">
        <v>50</v>
      </c>
      <c r="I16" s="1">
        <v>211500.0</v>
      </c>
      <c r="J16" s="1"/>
      <c r="K16" s="1"/>
      <c r="L16" s="1" t="s">
        <v>172</v>
      </c>
      <c r="M16" s="1" t="s">
        <v>201</v>
      </c>
      <c r="N16" s="1" t="s">
        <v>72</v>
      </c>
      <c r="O16" s="1" t="s">
        <v>73</v>
      </c>
      <c r="P16" s="2">
        <v>43826.75</v>
      </c>
      <c r="Q16" s="1" t="s">
        <v>74</v>
      </c>
      <c r="R16" s="1"/>
      <c r="S16" s="1" t="s">
        <v>184</v>
      </c>
      <c r="T16" s="1">
        <v>1400100.0</v>
      </c>
      <c r="U16" s="1" t="s">
        <v>185</v>
      </c>
      <c r="V16" s="1" t="s">
        <v>186</v>
      </c>
      <c r="W16" s="1" t="s">
        <v>177</v>
      </c>
      <c r="X16" s="1"/>
      <c r="Y16" s="1" t="str">
        <f>"02001000088202037"</f>
        <v>02001000088202037</v>
      </c>
      <c r="Z16" s="1" t="s">
        <v>76</v>
      </c>
      <c r="AA16" s="1" t="s">
        <v>178</v>
      </c>
      <c r="AB16" s="1" t="str">
        <f>"04015317000152"</f>
        <v>04015317000152</v>
      </c>
      <c r="AC16" s="1"/>
      <c r="AD16" s="1"/>
      <c r="AE16" s="1"/>
      <c r="AF16" s="1">
        <v>-60.766666</v>
      </c>
      <c r="AG16" s="1">
        <v>-2.767778</v>
      </c>
      <c r="AH16" s="1" t="s">
        <v>202</v>
      </c>
      <c r="AI16" s="1">
        <v>643583.0</v>
      </c>
      <c r="AJ16" s="1" t="s">
        <v>172</v>
      </c>
      <c r="AK16" s="1"/>
      <c r="AL16" s="1" t="s">
        <v>79</v>
      </c>
      <c r="AM16" s="1" t="s">
        <v>65</v>
      </c>
      <c r="AN16" s="1" t="s">
        <v>180</v>
      </c>
      <c r="AO16" s="2">
        <v>44028.0</v>
      </c>
      <c r="AP16" s="2">
        <v>44028.6779976852</v>
      </c>
      <c r="AQ16" s="1" t="s">
        <v>80</v>
      </c>
      <c r="AR16" s="1" t="s">
        <v>81</v>
      </c>
      <c r="AS16" s="1" t="s">
        <v>203</v>
      </c>
      <c r="AT16" s="2">
        <v>44269.931099537</v>
      </c>
    </row>
    <row r="17" ht="13.5" customHeight="1">
      <c r="A17" s="1"/>
      <c r="B17" s="1" t="s">
        <v>46</v>
      </c>
      <c r="C17" s="1" t="s">
        <v>47</v>
      </c>
      <c r="D17" s="1"/>
      <c r="E17" s="1" t="s">
        <v>204</v>
      </c>
      <c r="F17" s="1"/>
      <c r="G17" s="1" t="s">
        <v>49</v>
      </c>
      <c r="H17" s="1" t="s">
        <v>93</v>
      </c>
      <c r="I17" s="1">
        <v>925000.0</v>
      </c>
      <c r="J17" s="1"/>
      <c r="K17" s="1"/>
      <c r="L17" s="1"/>
      <c r="M17" s="1" t="s">
        <v>205</v>
      </c>
      <c r="N17" s="1" t="s">
        <v>95</v>
      </c>
      <c r="O17" s="1" t="s">
        <v>96</v>
      </c>
      <c r="P17" s="2">
        <v>43826.7172106482</v>
      </c>
      <c r="Q17" s="1" t="s">
        <v>74</v>
      </c>
      <c r="R17" s="1"/>
      <c r="S17" s="1" t="s">
        <v>110</v>
      </c>
      <c r="T17" s="1">
        <v>4301602.0</v>
      </c>
      <c r="U17" s="1" t="s">
        <v>206</v>
      </c>
      <c r="V17" s="1" t="s">
        <v>145</v>
      </c>
      <c r="W17" s="1" t="s">
        <v>146</v>
      </c>
      <c r="X17" s="1"/>
      <c r="Y17" s="1"/>
      <c r="Z17" s="1" t="s">
        <v>98</v>
      </c>
      <c r="AA17" s="1" t="s">
        <v>207</v>
      </c>
      <c r="AB17" s="1" t="str">
        <f>"***564640**"</f>
        <v>***564640**</v>
      </c>
      <c r="AC17" s="1"/>
      <c r="AD17" s="1" t="s">
        <v>149</v>
      </c>
      <c r="AE17" s="1"/>
      <c r="AF17" s="1">
        <v>-54.189167</v>
      </c>
      <c r="AG17" s="1">
        <v>-31.309444</v>
      </c>
      <c r="AH17" s="1" t="s">
        <v>208</v>
      </c>
      <c r="AI17" s="1"/>
      <c r="AJ17" s="1" t="s">
        <v>151</v>
      </c>
      <c r="AK17" s="1"/>
      <c r="AL17" s="1"/>
      <c r="AM17" s="1" t="s">
        <v>65</v>
      </c>
      <c r="AN17" s="1"/>
      <c r="AO17" s="1"/>
      <c r="AP17" s="2">
        <v>44006.761875</v>
      </c>
      <c r="AQ17" s="1"/>
      <c r="AR17" s="1" t="s">
        <v>209</v>
      </c>
      <c r="AS17" s="1"/>
      <c r="AT17" s="2">
        <v>44269.931099537</v>
      </c>
    </row>
    <row r="18" ht="13.5" customHeight="1">
      <c r="A18" s="1"/>
      <c r="B18" s="1" t="s">
        <v>46</v>
      </c>
      <c r="C18" s="1" t="s">
        <v>47</v>
      </c>
      <c r="D18" s="1"/>
      <c r="E18" s="1" t="s">
        <v>210</v>
      </c>
      <c r="F18" s="1"/>
      <c r="G18" s="1" t="s">
        <v>49</v>
      </c>
      <c r="H18" s="1" t="s">
        <v>93</v>
      </c>
      <c r="I18" s="1">
        <v>6000.0</v>
      </c>
      <c r="J18" s="1"/>
      <c r="K18" s="1"/>
      <c r="L18" s="1"/>
      <c r="M18" s="1" t="s">
        <v>211</v>
      </c>
      <c r="N18" s="1" t="s">
        <v>212</v>
      </c>
      <c r="O18" s="1" t="s">
        <v>213</v>
      </c>
      <c r="P18" s="2">
        <v>43826.6748032407</v>
      </c>
      <c r="Q18" s="1" t="s">
        <v>74</v>
      </c>
      <c r="R18" s="3">
        <v>43829.0</v>
      </c>
      <c r="S18" s="1"/>
      <c r="T18" s="1">
        <v>5106109.0</v>
      </c>
      <c r="U18" s="1" t="s">
        <v>214</v>
      </c>
      <c r="V18" s="1" t="s">
        <v>164</v>
      </c>
      <c r="W18" s="1" t="s">
        <v>127</v>
      </c>
      <c r="X18" s="1"/>
      <c r="Y18" s="1"/>
      <c r="Z18" s="1" t="s">
        <v>215</v>
      </c>
      <c r="AA18" s="1" t="s">
        <v>216</v>
      </c>
      <c r="AB18" s="1" t="str">
        <f>"***691838**"</f>
        <v>***691838**</v>
      </c>
      <c r="AC18" s="1"/>
      <c r="AD18" s="1" t="s">
        <v>149</v>
      </c>
      <c r="AE18" s="1"/>
      <c r="AF18" s="1">
        <v>-56.55389</v>
      </c>
      <c r="AG18" s="1">
        <v>-15.933888</v>
      </c>
      <c r="AH18" s="1" t="s">
        <v>217</v>
      </c>
      <c r="AI18" s="1"/>
      <c r="AJ18" s="1" t="s">
        <v>167</v>
      </c>
      <c r="AK18" s="1"/>
      <c r="AL18" s="1"/>
      <c r="AM18" s="1" t="s">
        <v>65</v>
      </c>
      <c r="AN18" s="1" t="s">
        <v>168</v>
      </c>
      <c r="AO18" s="1"/>
      <c r="AP18" s="2">
        <v>43827.3116319444</v>
      </c>
      <c r="AQ18" s="1"/>
      <c r="AR18" s="1" t="s">
        <v>218</v>
      </c>
      <c r="AS18" s="1"/>
      <c r="AT18" s="2">
        <v>44269.931099537</v>
      </c>
    </row>
    <row r="19" ht="13.5" customHeight="1">
      <c r="A19" s="1">
        <v>2036891.0</v>
      </c>
      <c r="B19" s="1" t="s">
        <v>67</v>
      </c>
      <c r="C19" s="1" t="s">
        <v>68</v>
      </c>
      <c r="D19" s="1" t="s">
        <v>46</v>
      </c>
      <c r="E19" s="1" t="s">
        <v>219</v>
      </c>
      <c r="F19" s="1"/>
      <c r="G19" s="1" t="s">
        <v>70</v>
      </c>
      <c r="H19" s="1" t="s">
        <v>50</v>
      </c>
      <c r="I19" s="1">
        <v>9085.0</v>
      </c>
      <c r="J19" s="1"/>
      <c r="K19" s="1"/>
      <c r="L19" s="1" t="s">
        <v>167</v>
      </c>
      <c r="M19" s="1" t="s">
        <v>220</v>
      </c>
      <c r="N19" s="1" t="s">
        <v>142</v>
      </c>
      <c r="O19" s="1" t="s">
        <v>143</v>
      </c>
      <c r="P19" s="2">
        <v>43826.625</v>
      </c>
      <c r="Q19" s="1" t="s">
        <v>55</v>
      </c>
      <c r="R19" s="1"/>
      <c r="S19" s="1" t="s">
        <v>110</v>
      </c>
      <c r="T19" s="1">
        <v>5103403.0</v>
      </c>
      <c r="U19" s="1" t="s">
        <v>221</v>
      </c>
      <c r="V19" s="1" t="s">
        <v>164</v>
      </c>
      <c r="W19" s="1" t="s">
        <v>177</v>
      </c>
      <c r="X19" s="1"/>
      <c r="Y19" s="1" t="str">
        <f>"02013000370202085"</f>
        <v>02013000370202085</v>
      </c>
      <c r="Z19" s="1" t="s">
        <v>147</v>
      </c>
      <c r="AA19" s="1" t="s">
        <v>222</v>
      </c>
      <c r="AB19" s="1" t="str">
        <f>"06112089000164"</f>
        <v>06112089000164</v>
      </c>
      <c r="AC19" s="1"/>
      <c r="AD19" s="1"/>
      <c r="AE19" s="1"/>
      <c r="AF19" s="1">
        <v>-56.059723</v>
      </c>
      <c r="AG19" s="1">
        <v>-15.558333</v>
      </c>
      <c r="AH19" s="1" t="s">
        <v>223</v>
      </c>
      <c r="AI19" s="1"/>
      <c r="AJ19" s="1" t="s">
        <v>167</v>
      </c>
      <c r="AK19" s="1"/>
      <c r="AL19" s="1" t="s">
        <v>79</v>
      </c>
      <c r="AM19" s="1" t="s">
        <v>65</v>
      </c>
      <c r="AN19" s="1" t="s">
        <v>168</v>
      </c>
      <c r="AO19" s="2">
        <v>43976.0</v>
      </c>
      <c r="AP19" s="2">
        <v>43976.7826157407</v>
      </c>
      <c r="AQ19" s="1" t="s">
        <v>80</v>
      </c>
      <c r="AR19" s="1" t="s">
        <v>181</v>
      </c>
      <c r="AS19" s="1"/>
      <c r="AT19" s="2">
        <v>44269.931099537</v>
      </c>
    </row>
    <row r="20" ht="13.5" customHeight="1">
      <c r="A20" s="1"/>
      <c r="B20" s="1" t="s">
        <v>46</v>
      </c>
      <c r="C20" s="1" t="s">
        <v>47</v>
      </c>
      <c r="D20" s="1"/>
      <c r="E20" s="1" t="s">
        <v>224</v>
      </c>
      <c r="F20" s="1"/>
      <c r="G20" s="1" t="s">
        <v>49</v>
      </c>
      <c r="H20" s="1" t="s">
        <v>93</v>
      </c>
      <c r="I20" s="1">
        <v>1200.0</v>
      </c>
      <c r="J20" s="1"/>
      <c r="K20" s="1" t="s">
        <v>51</v>
      </c>
      <c r="L20" s="1"/>
      <c r="M20" s="1" t="s">
        <v>225</v>
      </c>
      <c r="N20" s="1" t="s">
        <v>108</v>
      </c>
      <c r="O20" s="1" t="s">
        <v>109</v>
      </c>
      <c r="P20" s="2">
        <v>43826.5504513889</v>
      </c>
      <c r="Q20" s="1" t="s">
        <v>74</v>
      </c>
      <c r="R20" s="3">
        <v>43826.0</v>
      </c>
      <c r="S20" s="1"/>
      <c r="T20" s="1">
        <v>3509502.0</v>
      </c>
      <c r="U20" s="1" t="s">
        <v>97</v>
      </c>
      <c r="V20" s="1" t="s">
        <v>58</v>
      </c>
      <c r="W20" s="1" t="s">
        <v>59</v>
      </c>
      <c r="X20" s="1"/>
      <c r="Y20" s="1"/>
      <c r="Z20" s="1" t="s">
        <v>226</v>
      </c>
      <c r="AA20" s="1" t="s">
        <v>227</v>
      </c>
      <c r="AB20" s="1" t="str">
        <f>"04301504000100"</f>
        <v>04301504000100</v>
      </c>
      <c r="AC20" s="1"/>
      <c r="AD20" s="1" t="s">
        <v>62</v>
      </c>
      <c r="AE20" s="1"/>
      <c r="AF20" s="1">
        <v>-47.144447</v>
      </c>
      <c r="AG20" s="1">
        <v>-23.007778</v>
      </c>
      <c r="AH20" s="1" t="s">
        <v>228</v>
      </c>
      <c r="AI20" s="1"/>
      <c r="AJ20" s="1" t="s">
        <v>101</v>
      </c>
      <c r="AK20" s="1"/>
      <c r="AL20" s="1"/>
      <c r="AM20" s="1" t="s">
        <v>65</v>
      </c>
      <c r="AN20" s="1" t="s">
        <v>102</v>
      </c>
      <c r="AO20" s="1"/>
      <c r="AP20" s="2">
        <v>43826.5545138889</v>
      </c>
      <c r="AQ20" s="1"/>
      <c r="AR20" s="1" t="s">
        <v>229</v>
      </c>
      <c r="AS20" s="1" t="s">
        <v>230</v>
      </c>
      <c r="AT20" s="2">
        <v>44269.931099537</v>
      </c>
    </row>
    <row r="21" ht="13.5" customHeight="1">
      <c r="A21" s="1"/>
      <c r="B21" s="1" t="s">
        <v>46</v>
      </c>
      <c r="C21" s="1" t="s">
        <v>47</v>
      </c>
      <c r="D21" s="1"/>
      <c r="E21" s="1" t="s">
        <v>231</v>
      </c>
      <c r="F21" s="1"/>
      <c r="G21" s="1" t="s">
        <v>49</v>
      </c>
      <c r="H21" s="1" t="s">
        <v>93</v>
      </c>
      <c r="I21" s="1">
        <v>1200.0</v>
      </c>
      <c r="J21" s="1"/>
      <c r="K21" s="1" t="s">
        <v>51</v>
      </c>
      <c r="L21" s="1"/>
      <c r="M21" s="1" t="s">
        <v>232</v>
      </c>
      <c r="N21" s="1" t="s">
        <v>108</v>
      </c>
      <c r="O21" s="1" t="s">
        <v>109</v>
      </c>
      <c r="P21" s="2">
        <v>43826.5409490741</v>
      </c>
      <c r="Q21" s="1" t="s">
        <v>74</v>
      </c>
      <c r="R21" s="3">
        <v>43826.0</v>
      </c>
      <c r="S21" s="1"/>
      <c r="T21" s="1">
        <v>3509502.0</v>
      </c>
      <c r="U21" s="1" t="s">
        <v>97</v>
      </c>
      <c r="V21" s="1" t="s">
        <v>58</v>
      </c>
      <c r="W21" s="1" t="s">
        <v>59</v>
      </c>
      <c r="X21" s="1"/>
      <c r="Y21" s="1"/>
      <c r="Z21" s="1" t="s">
        <v>226</v>
      </c>
      <c r="AA21" s="1" t="s">
        <v>233</v>
      </c>
      <c r="AB21" s="1" t="str">
        <f>"69347169000208"</f>
        <v>69347169000208</v>
      </c>
      <c r="AC21" s="1"/>
      <c r="AD21" s="1" t="s">
        <v>62</v>
      </c>
      <c r="AE21" s="1"/>
      <c r="AF21" s="1">
        <v>-47.144447</v>
      </c>
      <c r="AG21" s="1">
        <v>-23.007778</v>
      </c>
      <c r="AH21" s="1" t="s">
        <v>234</v>
      </c>
      <c r="AI21" s="1"/>
      <c r="AJ21" s="1" t="s">
        <v>101</v>
      </c>
      <c r="AK21" s="1"/>
      <c r="AL21" s="1"/>
      <c r="AM21" s="1" t="s">
        <v>65</v>
      </c>
      <c r="AN21" s="1" t="s">
        <v>102</v>
      </c>
      <c r="AO21" s="1"/>
      <c r="AP21" s="2">
        <v>43826.5458217593</v>
      </c>
      <c r="AQ21" s="1"/>
      <c r="AR21" s="1" t="s">
        <v>229</v>
      </c>
      <c r="AS21" s="1" t="s">
        <v>230</v>
      </c>
      <c r="AT21" s="2">
        <v>44269.931099537</v>
      </c>
    </row>
    <row r="22" ht="13.5" customHeight="1">
      <c r="A22" s="1"/>
      <c r="B22" s="1" t="s">
        <v>46</v>
      </c>
      <c r="C22" s="1" t="s">
        <v>47</v>
      </c>
      <c r="D22" s="1"/>
      <c r="E22" s="1" t="s">
        <v>235</v>
      </c>
      <c r="F22" s="1"/>
      <c r="G22" s="1" t="s">
        <v>49</v>
      </c>
      <c r="H22" s="1" t="s">
        <v>93</v>
      </c>
      <c r="I22" s="1">
        <v>925000.0</v>
      </c>
      <c r="J22" s="1"/>
      <c r="K22" s="1"/>
      <c r="L22" s="1"/>
      <c r="M22" s="1" t="s">
        <v>236</v>
      </c>
      <c r="N22" s="1" t="s">
        <v>95</v>
      </c>
      <c r="O22" s="1" t="s">
        <v>96</v>
      </c>
      <c r="P22" s="2">
        <v>43826.5337037037</v>
      </c>
      <c r="Q22" s="1" t="s">
        <v>74</v>
      </c>
      <c r="R22" s="1"/>
      <c r="S22" s="1" t="s">
        <v>110</v>
      </c>
      <c r="T22" s="1">
        <v>4301602.0</v>
      </c>
      <c r="U22" s="1" t="s">
        <v>206</v>
      </c>
      <c r="V22" s="1" t="s">
        <v>145</v>
      </c>
      <c r="W22" s="1" t="s">
        <v>146</v>
      </c>
      <c r="X22" s="1"/>
      <c r="Y22" s="1"/>
      <c r="Z22" s="1" t="s">
        <v>98</v>
      </c>
      <c r="AA22" s="1" t="s">
        <v>237</v>
      </c>
      <c r="AB22" s="1" t="str">
        <f>"***002348**"</f>
        <v>***002348**</v>
      </c>
      <c r="AC22" s="1"/>
      <c r="AD22" s="1" t="s">
        <v>149</v>
      </c>
      <c r="AE22" s="1"/>
      <c r="AF22" s="1">
        <v>-54.189167</v>
      </c>
      <c r="AG22" s="1">
        <v>-31.309444</v>
      </c>
      <c r="AH22" s="1" t="s">
        <v>208</v>
      </c>
      <c r="AI22" s="1"/>
      <c r="AJ22" s="1" t="s">
        <v>151</v>
      </c>
      <c r="AK22" s="1"/>
      <c r="AL22" s="1"/>
      <c r="AM22" s="1" t="s">
        <v>65</v>
      </c>
      <c r="AN22" s="1"/>
      <c r="AO22" s="1"/>
      <c r="AP22" s="2">
        <v>44006.7620138889</v>
      </c>
      <c r="AQ22" s="1"/>
      <c r="AR22" s="1" t="s">
        <v>238</v>
      </c>
      <c r="AS22" s="1"/>
      <c r="AT22" s="2">
        <v>44269.931099537</v>
      </c>
    </row>
    <row r="23" ht="13.5" customHeight="1">
      <c r="A23" s="1"/>
      <c r="B23" s="1" t="s">
        <v>46</v>
      </c>
      <c r="C23" s="1" t="s">
        <v>47</v>
      </c>
      <c r="D23" s="1"/>
      <c r="E23" s="1" t="s">
        <v>239</v>
      </c>
      <c r="F23" s="1"/>
      <c r="G23" s="1" t="s">
        <v>49</v>
      </c>
      <c r="H23" s="1" t="s">
        <v>93</v>
      </c>
      <c r="I23" s="1">
        <v>1100.0</v>
      </c>
      <c r="J23" s="1"/>
      <c r="K23" s="1" t="s">
        <v>51</v>
      </c>
      <c r="L23" s="1"/>
      <c r="M23" s="1" t="s">
        <v>240</v>
      </c>
      <c r="N23" s="1" t="s">
        <v>108</v>
      </c>
      <c r="O23" s="1" t="s">
        <v>109</v>
      </c>
      <c r="P23" s="2">
        <v>43826.5281365741</v>
      </c>
      <c r="Q23" s="1" t="s">
        <v>74</v>
      </c>
      <c r="R23" s="3">
        <v>43826.0</v>
      </c>
      <c r="S23" s="1"/>
      <c r="T23" s="1">
        <v>3509502.0</v>
      </c>
      <c r="U23" s="1" t="s">
        <v>97</v>
      </c>
      <c r="V23" s="1" t="s">
        <v>58</v>
      </c>
      <c r="W23" s="1" t="s">
        <v>59</v>
      </c>
      <c r="X23" s="1"/>
      <c r="Y23" s="1"/>
      <c r="Z23" s="1" t="s">
        <v>226</v>
      </c>
      <c r="AA23" s="1" t="s">
        <v>241</v>
      </c>
      <c r="AB23" s="1" t="str">
        <f>"08020967000147"</f>
        <v>08020967000147</v>
      </c>
      <c r="AC23" s="1"/>
      <c r="AD23" s="1" t="s">
        <v>62</v>
      </c>
      <c r="AE23" s="1"/>
      <c r="AF23" s="1">
        <v>-47.144447</v>
      </c>
      <c r="AG23" s="1">
        <v>-23.007778</v>
      </c>
      <c r="AH23" s="1" t="s">
        <v>242</v>
      </c>
      <c r="AI23" s="1"/>
      <c r="AJ23" s="1" t="s">
        <v>101</v>
      </c>
      <c r="AK23" s="1"/>
      <c r="AL23" s="1"/>
      <c r="AM23" s="1" t="s">
        <v>65</v>
      </c>
      <c r="AN23" s="1" t="s">
        <v>102</v>
      </c>
      <c r="AO23" s="1"/>
      <c r="AP23" s="2">
        <v>43826.5352430556</v>
      </c>
      <c r="AQ23" s="1"/>
      <c r="AR23" s="1" t="s">
        <v>229</v>
      </c>
      <c r="AS23" s="1" t="s">
        <v>230</v>
      </c>
      <c r="AT23" s="2">
        <v>44269.931099537</v>
      </c>
    </row>
    <row r="24" ht="13.5" customHeight="1">
      <c r="A24" s="1">
        <v>2037711.0</v>
      </c>
      <c r="B24" s="1" t="s">
        <v>67</v>
      </c>
      <c r="C24" s="1" t="s">
        <v>68</v>
      </c>
      <c r="D24" s="1" t="s">
        <v>46</v>
      </c>
      <c r="E24" s="1" t="s">
        <v>243</v>
      </c>
      <c r="F24" s="1"/>
      <c r="G24" s="1" t="s">
        <v>70</v>
      </c>
      <c r="H24" s="1" t="s">
        <v>93</v>
      </c>
      <c r="I24" s="1">
        <v>22000.0</v>
      </c>
      <c r="J24" s="1"/>
      <c r="K24" s="1"/>
      <c r="L24" s="1" t="s">
        <v>244</v>
      </c>
      <c r="M24" s="1" t="s">
        <v>245</v>
      </c>
      <c r="N24" s="1" t="s">
        <v>95</v>
      </c>
      <c r="O24" s="1" t="s">
        <v>96</v>
      </c>
      <c r="P24" s="2">
        <v>43826.5</v>
      </c>
      <c r="Q24" s="1" t="s">
        <v>74</v>
      </c>
      <c r="R24" s="3">
        <v>43836.0</v>
      </c>
      <c r="S24" s="1"/>
      <c r="T24" s="1">
        <v>3148103.0</v>
      </c>
      <c r="U24" s="1" t="s">
        <v>246</v>
      </c>
      <c r="V24" s="1" t="s">
        <v>126</v>
      </c>
      <c r="W24" s="1" t="s">
        <v>127</v>
      </c>
      <c r="X24" s="1"/>
      <c r="Y24" s="1" t="str">
        <f>"02553000284202065"</f>
        <v>02553000284202065</v>
      </c>
      <c r="Z24" s="1" t="s">
        <v>98</v>
      </c>
      <c r="AA24" s="1" t="s">
        <v>247</v>
      </c>
      <c r="AB24" s="1" t="str">
        <f>"***154316**"</f>
        <v>***154316**</v>
      </c>
      <c r="AC24" s="1"/>
      <c r="AD24" s="1" t="s">
        <v>116</v>
      </c>
      <c r="AE24" s="1"/>
      <c r="AF24" s="1">
        <v>-46.987778</v>
      </c>
      <c r="AG24" s="1">
        <v>-18.959444</v>
      </c>
      <c r="AH24" s="1" t="s">
        <v>248</v>
      </c>
      <c r="AI24" s="1"/>
      <c r="AJ24" s="1" t="s">
        <v>244</v>
      </c>
      <c r="AK24" s="1"/>
      <c r="AL24" s="1" t="s">
        <v>118</v>
      </c>
      <c r="AM24" s="1" t="s">
        <v>65</v>
      </c>
      <c r="AN24" s="1" t="s">
        <v>249</v>
      </c>
      <c r="AO24" s="2">
        <v>44007.0</v>
      </c>
      <c r="AP24" s="2">
        <v>44104.4343865741</v>
      </c>
      <c r="AQ24" s="1" t="s">
        <v>80</v>
      </c>
      <c r="AR24" s="1" t="s">
        <v>250</v>
      </c>
      <c r="AS24" s="1"/>
      <c r="AT24" s="2">
        <v>44269.931099537</v>
      </c>
    </row>
    <row r="25" ht="13.5" customHeight="1">
      <c r="A25" s="1">
        <v>2037682.0</v>
      </c>
      <c r="B25" s="1" t="s">
        <v>67</v>
      </c>
      <c r="C25" s="1" t="s">
        <v>68</v>
      </c>
      <c r="D25" s="1" t="s">
        <v>46</v>
      </c>
      <c r="E25" s="1" t="s">
        <v>251</v>
      </c>
      <c r="F25" s="1"/>
      <c r="G25" s="1" t="s">
        <v>70</v>
      </c>
      <c r="H25" s="1" t="s">
        <v>93</v>
      </c>
      <c r="I25" s="1">
        <v>925000.0</v>
      </c>
      <c r="J25" s="1"/>
      <c r="K25" s="1"/>
      <c r="L25" s="1" t="s">
        <v>151</v>
      </c>
      <c r="M25" s="1" t="s">
        <v>252</v>
      </c>
      <c r="N25" s="1" t="s">
        <v>95</v>
      </c>
      <c r="O25" s="1" t="s">
        <v>96</v>
      </c>
      <c r="P25" s="2">
        <v>43826.4583333333</v>
      </c>
      <c r="Q25" s="1" t="s">
        <v>74</v>
      </c>
      <c r="R25" s="1"/>
      <c r="S25" s="1" t="s">
        <v>110</v>
      </c>
      <c r="T25" s="1">
        <v>4301602.0</v>
      </c>
      <c r="U25" s="1" t="s">
        <v>206</v>
      </c>
      <c r="V25" s="1" t="s">
        <v>145</v>
      </c>
      <c r="W25" s="1" t="s">
        <v>146</v>
      </c>
      <c r="X25" s="1"/>
      <c r="Y25" s="1" t="str">
        <f>"02023000082202010"</f>
        <v>02023000082202010</v>
      </c>
      <c r="Z25" s="1" t="s">
        <v>98</v>
      </c>
      <c r="AA25" s="1" t="s">
        <v>253</v>
      </c>
      <c r="AB25" s="1" t="str">
        <f>"***002348**"</f>
        <v>***002348**</v>
      </c>
      <c r="AC25" s="1"/>
      <c r="AD25" s="1"/>
      <c r="AE25" s="1"/>
      <c r="AF25" s="1">
        <v>-54.189167</v>
      </c>
      <c r="AG25" s="1">
        <v>-31.309444</v>
      </c>
      <c r="AH25" s="1" t="s">
        <v>208</v>
      </c>
      <c r="AI25" s="1"/>
      <c r="AJ25" s="1" t="s">
        <v>151</v>
      </c>
      <c r="AK25" s="1"/>
      <c r="AL25" s="1" t="s">
        <v>79</v>
      </c>
      <c r="AM25" s="1" t="s">
        <v>65</v>
      </c>
      <c r="AN25" s="1"/>
      <c r="AO25" s="2">
        <v>44006.0</v>
      </c>
      <c r="AP25" s="2">
        <v>44006.6319907407</v>
      </c>
      <c r="AQ25" s="1" t="s">
        <v>80</v>
      </c>
      <c r="AR25" s="1" t="s">
        <v>254</v>
      </c>
      <c r="AS25" s="1"/>
      <c r="AT25" s="2">
        <v>44269.931099537</v>
      </c>
    </row>
    <row r="26" ht="13.5" customHeight="1">
      <c r="A26" s="1">
        <v>2034488.0</v>
      </c>
      <c r="B26" s="1" t="s">
        <v>67</v>
      </c>
      <c r="C26" s="1" t="s">
        <v>68</v>
      </c>
      <c r="D26" s="1" t="s">
        <v>46</v>
      </c>
      <c r="E26" s="1" t="s">
        <v>255</v>
      </c>
      <c r="F26" s="1"/>
      <c r="G26" s="1" t="s">
        <v>70</v>
      </c>
      <c r="H26" s="1" t="s">
        <v>93</v>
      </c>
      <c r="I26" s="1">
        <v>20000.0</v>
      </c>
      <c r="J26" s="1"/>
      <c r="K26" s="1"/>
      <c r="L26" s="1" t="s">
        <v>106</v>
      </c>
      <c r="M26" s="1" t="s">
        <v>256</v>
      </c>
      <c r="N26" s="1" t="s">
        <v>142</v>
      </c>
      <c r="O26" s="1" t="s">
        <v>143</v>
      </c>
      <c r="P26" s="2">
        <v>43826.4354166667</v>
      </c>
      <c r="Q26" s="1" t="s">
        <v>74</v>
      </c>
      <c r="R26" s="1"/>
      <c r="S26" s="1" t="s">
        <v>257</v>
      </c>
      <c r="T26" s="1">
        <v>2312908.0</v>
      </c>
      <c r="U26" s="1" t="s">
        <v>258</v>
      </c>
      <c r="V26" s="1" t="s">
        <v>112</v>
      </c>
      <c r="W26" s="1" t="s">
        <v>113</v>
      </c>
      <c r="X26" s="1"/>
      <c r="Y26" s="1" t="str">
        <f>"02007000006202002"</f>
        <v>02007000006202002</v>
      </c>
      <c r="Z26" s="1" t="s">
        <v>259</v>
      </c>
      <c r="AA26" s="1" t="s">
        <v>260</v>
      </c>
      <c r="AB26" s="1" t="str">
        <f>"***094073**"</f>
        <v>***094073**</v>
      </c>
      <c r="AC26" s="1"/>
      <c r="AD26" s="1" t="s">
        <v>116</v>
      </c>
      <c r="AE26" s="1"/>
      <c r="AF26" s="1">
        <v>0.0</v>
      </c>
      <c r="AG26" s="1">
        <v>0.0</v>
      </c>
      <c r="AH26" s="1" t="s">
        <v>261</v>
      </c>
      <c r="AI26" s="1"/>
      <c r="AJ26" s="1"/>
      <c r="AK26" s="1"/>
      <c r="AL26" s="1" t="s">
        <v>118</v>
      </c>
      <c r="AM26" s="1"/>
      <c r="AN26" s="1"/>
      <c r="AO26" s="2">
        <v>43878.5017939815</v>
      </c>
      <c r="AP26" s="2">
        <v>43878.5017939815</v>
      </c>
      <c r="AQ26" s="1" t="s">
        <v>80</v>
      </c>
      <c r="AR26" s="1" t="s">
        <v>262</v>
      </c>
      <c r="AS26" s="1"/>
      <c r="AT26" s="2">
        <v>44269.931099537</v>
      </c>
    </row>
    <row r="27" ht="13.5" customHeight="1">
      <c r="A27" s="1">
        <v>2034665.0</v>
      </c>
      <c r="B27" s="1" t="s">
        <v>67</v>
      </c>
      <c r="C27" s="1" t="s">
        <v>68</v>
      </c>
      <c r="D27" s="1" t="s">
        <v>46</v>
      </c>
      <c r="E27" s="1" t="s">
        <v>263</v>
      </c>
      <c r="F27" s="1"/>
      <c r="G27" s="1" t="s">
        <v>70</v>
      </c>
      <c r="H27" s="1" t="s">
        <v>93</v>
      </c>
      <c r="I27" s="1">
        <v>86500.0</v>
      </c>
      <c r="J27" s="1"/>
      <c r="K27" s="1"/>
      <c r="L27" s="1" t="s">
        <v>264</v>
      </c>
      <c r="M27" s="1" t="s">
        <v>265</v>
      </c>
      <c r="N27" s="1" t="s">
        <v>95</v>
      </c>
      <c r="O27" s="1" t="s">
        <v>96</v>
      </c>
      <c r="P27" s="2">
        <v>43826.3333333333</v>
      </c>
      <c r="Q27" s="1" t="s">
        <v>74</v>
      </c>
      <c r="R27" s="3">
        <v>43832.0</v>
      </c>
      <c r="S27" s="1"/>
      <c r="T27" s="1">
        <v>4209102.0</v>
      </c>
      <c r="U27" s="1" t="s">
        <v>266</v>
      </c>
      <c r="V27" s="1" t="s">
        <v>267</v>
      </c>
      <c r="W27" s="1" t="s">
        <v>59</v>
      </c>
      <c r="X27" s="1"/>
      <c r="Y27" s="1" t="str">
        <f>"02026000080202092"</f>
        <v>02026000080202092</v>
      </c>
      <c r="Z27" s="1" t="s">
        <v>98</v>
      </c>
      <c r="AA27" s="1" t="s">
        <v>268</v>
      </c>
      <c r="AB27" s="1" t="str">
        <f>"***534239**"</f>
        <v>***534239**</v>
      </c>
      <c r="AC27" s="1"/>
      <c r="AD27" s="1"/>
      <c r="AE27" s="1"/>
      <c r="AF27" s="1">
        <v>-48.855</v>
      </c>
      <c r="AG27" s="1">
        <v>-26.362223</v>
      </c>
      <c r="AH27" s="1" t="s">
        <v>269</v>
      </c>
      <c r="AI27" s="1"/>
      <c r="AJ27" s="1" t="s">
        <v>264</v>
      </c>
      <c r="AK27" s="1"/>
      <c r="AL27" s="1" t="s">
        <v>79</v>
      </c>
      <c r="AM27" s="1" t="s">
        <v>65</v>
      </c>
      <c r="AN27" s="1" t="s">
        <v>152</v>
      </c>
      <c r="AO27" s="2">
        <v>43889.0</v>
      </c>
      <c r="AP27" s="2">
        <v>43889.5247106481</v>
      </c>
      <c r="AQ27" s="1" t="s">
        <v>80</v>
      </c>
      <c r="AR27" s="1" t="s">
        <v>254</v>
      </c>
      <c r="AS27" s="1" t="s">
        <v>270</v>
      </c>
      <c r="AT27" s="2">
        <v>44269.931099537</v>
      </c>
    </row>
    <row r="28" ht="13.5" customHeight="1">
      <c r="A28" s="1">
        <v>2034525.0</v>
      </c>
      <c r="B28" s="1" t="s">
        <v>67</v>
      </c>
      <c r="C28" s="1" t="s">
        <v>68</v>
      </c>
      <c r="D28" s="1" t="s">
        <v>46</v>
      </c>
      <c r="E28" s="1" t="s">
        <v>271</v>
      </c>
      <c r="F28" s="1"/>
      <c r="G28" s="1" t="s">
        <v>70</v>
      </c>
      <c r="H28" s="1" t="s">
        <v>93</v>
      </c>
      <c r="I28" s="1">
        <v>4000.0</v>
      </c>
      <c r="J28" s="1"/>
      <c r="K28" s="1"/>
      <c r="L28" s="1" t="s">
        <v>106</v>
      </c>
      <c r="M28" s="1" t="s">
        <v>272</v>
      </c>
      <c r="N28" s="1" t="s">
        <v>108</v>
      </c>
      <c r="O28" s="1" t="s">
        <v>73</v>
      </c>
      <c r="P28" s="2">
        <v>43826.30625</v>
      </c>
      <c r="Q28" s="1" t="s">
        <v>74</v>
      </c>
      <c r="R28" s="1"/>
      <c r="S28" s="1" t="s">
        <v>257</v>
      </c>
      <c r="T28" s="1">
        <v>2300606.0</v>
      </c>
      <c r="U28" s="1" t="s">
        <v>273</v>
      </c>
      <c r="V28" s="1" t="s">
        <v>112</v>
      </c>
      <c r="W28" s="1" t="s">
        <v>113</v>
      </c>
      <c r="X28" s="1"/>
      <c r="Y28" s="1" t="str">
        <f>"02007000015202095"</f>
        <v>02007000015202095</v>
      </c>
      <c r="Z28" s="1" t="s">
        <v>114</v>
      </c>
      <c r="AA28" s="1" t="s">
        <v>274</v>
      </c>
      <c r="AB28" s="1" t="str">
        <f>"07385503000171"</f>
        <v>07385503000171</v>
      </c>
      <c r="AC28" s="1"/>
      <c r="AD28" s="1" t="s">
        <v>116</v>
      </c>
      <c r="AE28" s="1"/>
      <c r="AF28" s="1">
        <v>0.0</v>
      </c>
      <c r="AG28" s="1">
        <v>0.0</v>
      </c>
      <c r="AH28" s="1" t="s">
        <v>275</v>
      </c>
      <c r="AI28" s="1"/>
      <c r="AJ28" s="1"/>
      <c r="AK28" s="1"/>
      <c r="AL28" s="1" t="s">
        <v>118</v>
      </c>
      <c r="AM28" s="1"/>
      <c r="AN28" s="1"/>
      <c r="AO28" s="2">
        <v>43881.6385185185</v>
      </c>
      <c r="AP28" s="2">
        <v>43881.6385185185</v>
      </c>
      <c r="AQ28" s="1" t="s">
        <v>80</v>
      </c>
      <c r="AR28" s="1" t="s">
        <v>276</v>
      </c>
      <c r="AS28" s="1"/>
      <c r="AT28" s="2">
        <v>44269.931099537</v>
      </c>
    </row>
    <row r="29" ht="13.5" customHeight="1">
      <c r="A29" s="1"/>
      <c r="B29" s="1" t="s">
        <v>46</v>
      </c>
      <c r="C29" s="1" t="s">
        <v>47</v>
      </c>
      <c r="D29" s="1"/>
      <c r="E29" s="1" t="s">
        <v>277</v>
      </c>
      <c r="F29" s="1"/>
      <c r="G29" s="1" t="s">
        <v>49</v>
      </c>
      <c r="H29" s="1" t="s">
        <v>93</v>
      </c>
      <c r="I29" s="1">
        <v>9085.0</v>
      </c>
      <c r="J29" s="1"/>
      <c r="K29" s="1"/>
      <c r="L29" s="1"/>
      <c r="M29" s="1" t="s">
        <v>278</v>
      </c>
      <c r="N29" s="1" t="s">
        <v>142</v>
      </c>
      <c r="O29" s="1" t="s">
        <v>143</v>
      </c>
      <c r="P29" s="2">
        <v>43826.2313078704</v>
      </c>
      <c r="Q29" s="1" t="s">
        <v>55</v>
      </c>
      <c r="R29" s="1"/>
      <c r="S29" s="1" t="s">
        <v>110</v>
      </c>
      <c r="T29" s="1">
        <v>5103403.0</v>
      </c>
      <c r="U29" s="1" t="s">
        <v>221</v>
      </c>
      <c r="V29" s="1" t="s">
        <v>164</v>
      </c>
      <c r="W29" s="1" t="s">
        <v>177</v>
      </c>
      <c r="X29" s="1"/>
      <c r="Y29" s="1"/>
      <c r="Z29" s="1" t="s">
        <v>147</v>
      </c>
      <c r="AA29" s="1" t="s">
        <v>279</v>
      </c>
      <c r="AB29" s="1" t="str">
        <f>"24392930000104"</f>
        <v>24392930000104</v>
      </c>
      <c r="AC29" s="1"/>
      <c r="AD29" s="1" t="s">
        <v>116</v>
      </c>
      <c r="AE29" s="1"/>
      <c r="AF29" s="1">
        <v>-56.059723</v>
      </c>
      <c r="AG29" s="1">
        <v>-15.558333</v>
      </c>
      <c r="AH29" s="1" t="s">
        <v>223</v>
      </c>
      <c r="AI29" s="1"/>
      <c r="AJ29" s="1" t="s">
        <v>167</v>
      </c>
      <c r="AK29" s="1"/>
      <c r="AL29" s="1"/>
      <c r="AM29" s="1" t="s">
        <v>65</v>
      </c>
      <c r="AN29" s="1" t="s">
        <v>168</v>
      </c>
      <c r="AO29" s="1"/>
      <c r="AP29" s="2">
        <v>44266.6710069444</v>
      </c>
      <c r="AQ29" s="1"/>
      <c r="AR29" s="1" t="s">
        <v>280</v>
      </c>
      <c r="AS29" s="1"/>
      <c r="AT29" s="2">
        <v>44269.931099537</v>
      </c>
    </row>
    <row r="30" ht="13.5" customHeight="1">
      <c r="A30" s="1"/>
      <c r="B30" s="1" t="s">
        <v>46</v>
      </c>
      <c r="C30" s="1" t="s">
        <v>47</v>
      </c>
      <c r="D30" s="1"/>
      <c r="E30" s="1" t="s">
        <v>281</v>
      </c>
      <c r="F30" s="1"/>
      <c r="G30" s="1" t="s">
        <v>49</v>
      </c>
      <c r="H30" s="1" t="s">
        <v>50</v>
      </c>
      <c r="I30" s="1">
        <v>26000.0</v>
      </c>
      <c r="J30" s="1"/>
      <c r="K30" s="1" t="s">
        <v>51</v>
      </c>
      <c r="L30" s="1"/>
      <c r="M30" s="1" t="s">
        <v>282</v>
      </c>
      <c r="N30" s="1" t="s">
        <v>283</v>
      </c>
      <c r="O30" s="1" t="s">
        <v>284</v>
      </c>
      <c r="P30" s="2">
        <v>43825.9806712963</v>
      </c>
      <c r="Q30" s="1" t="s">
        <v>74</v>
      </c>
      <c r="R30" s="1"/>
      <c r="S30" s="1" t="s">
        <v>285</v>
      </c>
      <c r="T30" s="1">
        <v>3304557.0</v>
      </c>
      <c r="U30" s="1" t="s">
        <v>286</v>
      </c>
      <c r="V30" s="1" t="s">
        <v>287</v>
      </c>
      <c r="W30" s="1" t="s">
        <v>288</v>
      </c>
      <c r="X30" s="1"/>
      <c r="Y30" s="1"/>
      <c r="Z30" s="1"/>
      <c r="AA30" s="1" t="s">
        <v>289</v>
      </c>
      <c r="AB30" s="1" t="str">
        <f>"33000167000101"</f>
        <v>33000167000101</v>
      </c>
      <c r="AC30" s="1"/>
      <c r="AD30" s="1" t="s">
        <v>149</v>
      </c>
      <c r="AE30" s="1"/>
      <c r="AF30" s="1">
        <v>-43.175003</v>
      </c>
      <c r="AG30" s="1">
        <v>-22.903055</v>
      </c>
      <c r="AH30" s="1" t="s">
        <v>290</v>
      </c>
      <c r="AI30" s="1"/>
      <c r="AJ30" s="1" t="s">
        <v>291</v>
      </c>
      <c r="AK30" s="1"/>
      <c r="AL30" s="1"/>
      <c r="AM30" s="1" t="s">
        <v>65</v>
      </c>
      <c r="AN30" s="1" t="s">
        <v>292</v>
      </c>
      <c r="AO30" s="1"/>
      <c r="AP30" s="2">
        <v>44193.5866666667</v>
      </c>
      <c r="AQ30" s="1"/>
      <c r="AR30" s="1" t="s">
        <v>293</v>
      </c>
      <c r="AS30" s="1" t="s">
        <v>294</v>
      </c>
      <c r="AT30" s="2">
        <v>44269.931099537</v>
      </c>
    </row>
    <row r="31" ht="13.5" customHeight="1">
      <c r="A31" s="1">
        <v>2037383.0</v>
      </c>
      <c r="B31" s="1" t="s">
        <v>67</v>
      </c>
      <c r="C31" s="1" t="s">
        <v>68</v>
      </c>
      <c r="D31" s="1" t="s">
        <v>46</v>
      </c>
      <c r="E31" s="1" t="s">
        <v>295</v>
      </c>
      <c r="F31" s="1"/>
      <c r="G31" s="1" t="s">
        <v>70</v>
      </c>
      <c r="H31" s="1" t="s">
        <v>50</v>
      </c>
      <c r="I31" s="1">
        <v>26000.0</v>
      </c>
      <c r="J31" s="1"/>
      <c r="K31" s="1"/>
      <c r="L31" s="1" t="s">
        <v>291</v>
      </c>
      <c r="M31" s="1" t="s">
        <v>296</v>
      </c>
      <c r="N31" s="1" t="s">
        <v>283</v>
      </c>
      <c r="O31" s="1" t="s">
        <v>284</v>
      </c>
      <c r="P31" s="2">
        <v>43825.9166666667</v>
      </c>
      <c r="Q31" s="1" t="s">
        <v>74</v>
      </c>
      <c r="R31" s="3">
        <v>43854.0</v>
      </c>
      <c r="S31" s="1" t="s">
        <v>285</v>
      </c>
      <c r="T31" s="1">
        <v>3304557.0</v>
      </c>
      <c r="U31" s="1" t="s">
        <v>286</v>
      </c>
      <c r="V31" s="1" t="s">
        <v>287</v>
      </c>
      <c r="W31" s="1" t="s">
        <v>288</v>
      </c>
      <c r="X31" s="1"/>
      <c r="Y31" s="1" t="str">
        <f>"02022000247202055"</f>
        <v>02022000247202055</v>
      </c>
      <c r="Z31" s="1" t="s">
        <v>128</v>
      </c>
      <c r="AA31" s="1" t="s">
        <v>297</v>
      </c>
      <c r="AB31" s="1" t="str">
        <f>"09309027000135"</f>
        <v>09309027000135</v>
      </c>
      <c r="AC31" s="1"/>
      <c r="AD31" s="1"/>
      <c r="AE31" s="1"/>
      <c r="AF31" s="1">
        <v>-43.175003</v>
      </c>
      <c r="AG31" s="1">
        <v>-22.903055</v>
      </c>
      <c r="AH31" s="1" t="s">
        <v>290</v>
      </c>
      <c r="AI31" s="1"/>
      <c r="AJ31" s="1" t="s">
        <v>291</v>
      </c>
      <c r="AK31" s="1"/>
      <c r="AL31" s="1" t="s">
        <v>79</v>
      </c>
      <c r="AM31" s="1" t="s">
        <v>65</v>
      </c>
      <c r="AN31" s="1" t="s">
        <v>292</v>
      </c>
      <c r="AO31" s="2">
        <v>43994.0</v>
      </c>
      <c r="AP31" s="2">
        <v>43994.521875</v>
      </c>
      <c r="AQ31" s="1" t="s">
        <v>80</v>
      </c>
      <c r="AR31" s="1" t="s">
        <v>298</v>
      </c>
      <c r="AS31" s="1" t="s">
        <v>294</v>
      </c>
      <c r="AT31" s="2">
        <v>44269.931099537</v>
      </c>
    </row>
    <row r="32" ht="13.5" customHeight="1">
      <c r="A32" s="1">
        <v>2038223.0</v>
      </c>
      <c r="B32" s="1" t="s">
        <v>67</v>
      </c>
      <c r="C32" s="1" t="s">
        <v>68</v>
      </c>
      <c r="D32" s="1" t="s">
        <v>46</v>
      </c>
      <c r="E32" s="1" t="s">
        <v>299</v>
      </c>
      <c r="F32" s="1"/>
      <c r="G32" s="1" t="s">
        <v>70</v>
      </c>
      <c r="H32" s="1" t="s">
        <v>50</v>
      </c>
      <c r="I32" s="1">
        <v>26000.0</v>
      </c>
      <c r="J32" s="1"/>
      <c r="K32" s="1"/>
      <c r="L32" s="1" t="s">
        <v>291</v>
      </c>
      <c r="M32" s="1" t="s">
        <v>300</v>
      </c>
      <c r="N32" s="1" t="s">
        <v>283</v>
      </c>
      <c r="O32" s="1" t="s">
        <v>284</v>
      </c>
      <c r="P32" s="2">
        <v>43825.9166666667</v>
      </c>
      <c r="Q32" s="1" t="s">
        <v>74</v>
      </c>
      <c r="R32" s="1"/>
      <c r="S32" s="1" t="s">
        <v>285</v>
      </c>
      <c r="T32" s="1">
        <v>3304557.0</v>
      </c>
      <c r="U32" s="1" t="s">
        <v>286</v>
      </c>
      <c r="V32" s="1" t="s">
        <v>287</v>
      </c>
      <c r="W32" s="1" t="s">
        <v>288</v>
      </c>
      <c r="X32" s="1"/>
      <c r="Y32" s="1" t="str">
        <f>"02022000253202011"</f>
        <v>02022000253202011</v>
      </c>
      <c r="Z32" s="1" t="s">
        <v>128</v>
      </c>
      <c r="AA32" s="1" t="s">
        <v>289</v>
      </c>
      <c r="AB32" s="1" t="str">
        <f t="shared" ref="AB32:AB44" si="2">"33000167000101"</f>
        <v>33000167000101</v>
      </c>
      <c r="AC32" s="1"/>
      <c r="AD32" s="1"/>
      <c r="AE32" s="1"/>
      <c r="AF32" s="1">
        <v>-43.175003</v>
      </c>
      <c r="AG32" s="1">
        <v>-22.903055</v>
      </c>
      <c r="AH32" s="1" t="s">
        <v>290</v>
      </c>
      <c r="AI32" s="1"/>
      <c r="AJ32" s="1" t="s">
        <v>291</v>
      </c>
      <c r="AK32" s="1"/>
      <c r="AL32" s="1" t="s">
        <v>79</v>
      </c>
      <c r="AM32" s="1" t="s">
        <v>65</v>
      </c>
      <c r="AN32" s="1" t="s">
        <v>292</v>
      </c>
      <c r="AO32" s="2">
        <v>44027.0</v>
      </c>
      <c r="AP32" s="2">
        <v>44027.737337963</v>
      </c>
      <c r="AQ32" s="1" t="s">
        <v>80</v>
      </c>
      <c r="AR32" s="1" t="s">
        <v>298</v>
      </c>
      <c r="AS32" s="1" t="s">
        <v>294</v>
      </c>
      <c r="AT32" s="2">
        <v>44269.931099537</v>
      </c>
    </row>
    <row r="33" ht="13.5" customHeight="1">
      <c r="A33" s="1">
        <v>2037387.0</v>
      </c>
      <c r="B33" s="1" t="s">
        <v>67</v>
      </c>
      <c r="C33" s="1" t="s">
        <v>68</v>
      </c>
      <c r="D33" s="1" t="s">
        <v>46</v>
      </c>
      <c r="E33" s="1" t="s">
        <v>301</v>
      </c>
      <c r="F33" s="1"/>
      <c r="G33" s="1" t="s">
        <v>70</v>
      </c>
      <c r="H33" s="1" t="s">
        <v>50</v>
      </c>
      <c r="I33" s="1">
        <v>26000.0</v>
      </c>
      <c r="J33" s="1"/>
      <c r="K33" s="1"/>
      <c r="L33" s="1" t="s">
        <v>291</v>
      </c>
      <c r="M33" s="1" t="s">
        <v>302</v>
      </c>
      <c r="N33" s="1" t="s">
        <v>283</v>
      </c>
      <c r="O33" s="1" t="s">
        <v>284</v>
      </c>
      <c r="P33" s="2">
        <v>43825.875</v>
      </c>
      <c r="Q33" s="1" t="s">
        <v>74</v>
      </c>
      <c r="R33" s="3">
        <v>44015.0</v>
      </c>
      <c r="S33" s="1" t="s">
        <v>285</v>
      </c>
      <c r="T33" s="1">
        <v>3304557.0</v>
      </c>
      <c r="U33" s="1" t="s">
        <v>286</v>
      </c>
      <c r="V33" s="1" t="s">
        <v>287</v>
      </c>
      <c r="W33" s="1" t="s">
        <v>288</v>
      </c>
      <c r="X33" s="1"/>
      <c r="Y33" s="1" t="str">
        <f>"02022000238202064"</f>
        <v>02022000238202064</v>
      </c>
      <c r="Z33" s="1" t="s">
        <v>128</v>
      </c>
      <c r="AA33" s="1" t="s">
        <v>289</v>
      </c>
      <c r="AB33" s="1" t="str">
        <f t="shared" si="2"/>
        <v>33000167000101</v>
      </c>
      <c r="AC33" s="1"/>
      <c r="AD33" s="1"/>
      <c r="AE33" s="1"/>
      <c r="AF33" s="1">
        <v>-43.175003</v>
      </c>
      <c r="AG33" s="1">
        <v>-22.903055</v>
      </c>
      <c r="AH33" s="1" t="s">
        <v>290</v>
      </c>
      <c r="AI33" s="1"/>
      <c r="AJ33" s="1" t="s">
        <v>291</v>
      </c>
      <c r="AK33" s="1"/>
      <c r="AL33" s="1" t="s">
        <v>79</v>
      </c>
      <c r="AM33" s="1" t="s">
        <v>65</v>
      </c>
      <c r="AN33" s="1" t="s">
        <v>292</v>
      </c>
      <c r="AO33" s="2">
        <v>43994.0</v>
      </c>
      <c r="AP33" s="2">
        <v>43994.5383101852</v>
      </c>
      <c r="AQ33" s="1" t="s">
        <v>80</v>
      </c>
      <c r="AR33" s="1" t="s">
        <v>298</v>
      </c>
      <c r="AS33" s="1" t="s">
        <v>303</v>
      </c>
      <c r="AT33" s="2">
        <v>44269.931099537</v>
      </c>
    </row>
    <row r="34" ht="13.5" customHeight="1">
      <c r="A34" s="1">
        <v>2038029.0</v>
      </c>
      <c r="B34" s="1" t="s">
        <v>67</v>
      </c>
      <c r="C34" s="1" t="s">
        <v>68</v>
      </c>
      <c r="D34" s="1" t="s">
        <v>46</v>
      </c>
      <c r="E34" s="1" t="s">
        <v>304</v>
      </c>
      <c r="F34" s="1"/>
      <c r="G34" s="1" t="s">
        <v>70</v>
      </c>
      <c r="H34" s="1" t="s">
        <v>50</v>
      </c>
      <c r="I34" s="1">
        <v>26000.0</v>
      </c>
      <c r="J34" s="1"/>
      <c r="K34" s="1"/>
      <c r="L34" s="1" t="s">
        <v>291</v>
      </c>
      <c r="M34" s="1" t="s">
        <v>305</v>
      </c>
      <c r="N34" s="1" t="s">
        <v>283</v>
      </c>
      <c r="O34" s="1" t="s">
        <v>284</v>
      </c>
      <c r="P34" s="2">
        <v>43825.875</v>
      </c>
      <c r="Q34" s="1" t="s">
        <v>74</v>
      </c>
      <c r="R34" s="3">
        <v>44070.0</v>
      </c>
      <c r="S34" s="1" t="s">
        <v>285</v>
      </c>
      <c r="T34" s="1">
        <v>3304557.0</v>
      </c>
      <c r="U34" s="1" t="s">
        <v>286</v>
      </c>
      <c r="V34" s="1" t="s">
        <v>287</v>
      </c>
      <c r="W34" s="1" t="s">
        <v>288</v>
      </c>
      <c r="X34" s="1"/>
      <c r="Y34" s="1" t="str">
        <f>"02022000319202064"</f>
        <v>02022000319202064</v>
      </c>
      <c r="Z34" s="1" t="s">
        <v>128</v>
      </c>
      <c r="AA34" s="1" t="s">
        <v>289</v>
      </c>
      <c r="AB34" s="1" t="str">
        <f t="shared" si="2"/>
        <v>33000167000101</v>
      </c>
      <c r="AC34" s="1"/>
      <c r="AD34" s="1" t="s">
        <v>116</v>
      </c>
      <c r="AE34" s="1"/>
      <c r="AF34" s="1">
        <v>-43.175</v>
      </c>
      <c r="AG34" s="1">
        <v>-22.903056</v>
      </c>
      <c r="AH34" s="1" t="s">
        <v>290</v>
      </c>
      <c r="AI34" s="1"/>
      <c r="AJ34" s="1" t="s">
        <v>291</v>
      </c>
      <c r="AK34" s="1" t="s">
        <v>306</v>
      </c>
      <c r="AL34" s="1" t="s">
        <v>79</v>
      </c>
      <c r="AM34" s="1" t="s">
        <v>65</v>
      </c>
      <c r="AN34" s="1" t="s">
        <v>292</v>
      </c>
      <c r="AO34" s="2">
        <v>44018.0</v>
      </c>
      <c r="AP34" s="2">
        <v>44070.7656365741</v>
      </c>
      <c r="AQ34" s="1" t="s">
        <v>80</v>
      </c>
      <c r="AR34" s="1" t="s">
        <v>298</v>
      </c>
      <c r="AS34" s="1" t="s">
        <v>307</v>
      </c>
      <c r="AT34" s="2">
        <v>44269.931099537</v>
      </c>
    </row>
    <row r="35" ht="13.5" customHeight="1">
      <c r="A35" s="1">
        <v>2038165.0</v>
      </c>
      <c r="B35" s="1" t="s">
        <v>67</v>
      </c>
      <c r="C35" s="1" t="s">
        <v>68</v>
      </c>
      <c r="D35" s="1" t="s">
        <v>46</v>
      </c>
      <c r="E35" s="1" t="s">
        <v>308</v>
      </c>
      <c r="F35" s="1"/>
      <c r="G35" s="1" t="s">
        <v>70</v>
      </c>
      <c r="H35" s="1" t="s">
        <v>50</v>
      </c>
      <c r="I35" s="1">
        <v>2600.0</v>
      </c>
      <c r="J35" s="1"/>
      <c r="K35" s="1"/>
      <c r="L35" s="1" t="s">
        <v>291</v>
      </c>
      <c r="M35" s="1" t="s">
        <v>309</v>
      </c>
      <c r="N35" s="1" t="s">
        <v>283</v>
      </c>
      <c r="O35" s="1" t="s">
        <v>284</v>
      </c>
      <c r="P35" s="2">
        <v>43825.875</v>
      </c>
      <c r="Q35" s="1" t="s">
        <v>74</v>
      </c>
      <c r="R35" s="1"/>
      <c r="S35" s="1" t="s">
        <v>285</v>
      </c>
      <c r="T35" s="1">
        <v>3304557.0</v>
      </c>
      <c r="U35" s="1" t="s">
        <v>286</v>
      </c>
      <c r="V35" s="1" t="s">
        <v>287</v>
      </c>
      <c r="W35" s="1" t="s">
        <v>288</v>
      </c>
      <c r="X35" s="1"/>
      <c r="Y35" s="1" t="str">
        <f>"02022000252202068"</f>
        <v>02022000252202068</v>
      </c>
      <c r="Z35" s="1" t="s">
        <v>128</v>
      </c>
      <c r="AA35" s="1" t="s">
        <v>289</v>
      </c>
      <c r="AB35" s="1" t="str">
        <f t="shared" si="2"/>
        <v>33000167000101</v>
      </c>
      <c r="AC35" s="1"/>
      <c r="AD35" s="1"/>
      <c r="AE35" s="1"/>
      <c r="AF35" s="1">
        <v>-43.175003</v>
      </c>
      <c r="AG35" s="1">
        <v>-22.903055</v>
      </c>
      <c r="AH35" s="1" t="s">
        <v>290</v>
      </c>
      <c r="AI35" s="1"/>
      <c r="AJ35" s="1" t="s">
        <v>291</v>
      </c>
      <c r="AK35" s="1"/>
      <c r="AL35" s="1" t="s">
        <v>79</v>
      </c>
      <c r="AM35" s="1" t="s">
        <v>65</v>
      </c>
      <c r="AN35" s="1" t="s">
        <v>292</v>
      </c>
      <c r="AO35" s="2">
        <v>44025.0</v>
      </c>
      <c r="AP35" s="2">
        <v>44025.7242708333</v>
      </c>
      <c r="AQ35" s="1" t="s">
        <v>80</v>
      </c>
      <c r="AR35" s="1" t="s">
        <v>298</v>
      </c>
      <c r="AS35" s="1" t="s">
        <v>294</v>
      </c>
      <c r="AT35" s="2">
        <v>44269.931099537</v>
      </c>
    </row>
    <row r="36" ht="13.5" customHeight="1">
      <c r="A36" s="1">
        <v>2038211.0</v>
      </c>
      <c r="B36" s="1" t="s">
        <v>67</v>
      </c>
      <c r="C36" s="1" t="s">
        <v>68</v>
      </c>
      <c r="D36" s="1" t="s">
        <v>46</v>
      </c>
      <c r="E36" s="1" t="s">
        <v>310</v>
      </c>
      <c r="F36" s="1"/>
      <c r="G36" s="1" t="s">
        <v>70</v>
      </c>
      <c r="H36" s="1" t="s">
        <v>50</v>
      </c>
      <c r="I36" s="1">
        <v>26000.0</v>
      </c>
      <c r="J36" s="1"/>
      <c r="K36" s="1"/>
      <c r="L36" s="1" t="s">
        <v>291</v>
      </c>
      <c r="M36" s="1" t="s">
        <v>311</v>
      </c>
      <c r="N36" s="1" t="s">
        <v>283</v>
      </c>
      <c r="O36" s="1" t="s">
        <v>284</v>
      </c>
      <c r="P36" s="2">
        <v>43825.875</v>
      </c>
      <c r="Q36" s="1" t="s">
        <v>74</v>
      </c>
      <c r="R36" s="1"/>
      <c r="S36" s="1" t="s">
        <v>285</v>
      </c>
      <c r="T36" s="1">
        <v>3304557.0</v>
      </c>
      <c r="U36" s="1" t="s">
        <v>286</v>
      </c>
      <c r="V36" s="1" t="s">
        <v>287</v>
      </c>
      <c r="W36" s="1" t="s">
        <v>288</v>
      </c>
      <c r="X36" s="1"/>
      <c r="Y36" s="1" t="str">
        <f>"02022000317202075"</f>
        <v>02022000317202075</v>
      </c>
      <c r="Z36" s="1" t="s">
        <v>128</v>
      </c>
      <c r="AA36" s="1" t="s">
        <v>289</v>
      </c>
      <c r="AB36" s="1" t="str">
        <f t="shared" si="2"/>
        <v>33000167000101</v>
      </c>
      <c r="AC36" s="1"/>
      <c r="AD36" s="1"/>
      <c r="AE36" s="1"/>
      <c r="AF36" s="1">
        <v>-43.175003</v>
      </c>
      <c r="AG36" s="1">
        <v>-22.903055</v>
      </c>
      <c r="AH36" s="1" t="s">
        <v>290</v>
      </c>
      <c r="AI36" s="1"/>
      <c r="AJ36" s="1" t="s">
        <v>291</v>
      </c>
      <c r="AK36" s="1"/>
      <c r="AL36" s="1" t="s">
        <v>79</v>
      </c>
      <c r="AM36" s="1" t="s">
        <v>65</v>
      </c>
      <c r="AN36" s="1" t="s">
        <v>292</v>
      </c>
      <c r="AO36" s="2">
        <v>44027.0</v>
      </c>
      <c r="AP36" s="2">
        <v>44027.5283680556</v>
      </c>
      <c r="AQ36" s="1" t="s">
        <v>80</v>
      </c>
      <c r="AR36" s="1" t="s">
        <v>298</v>
      </c>
      <c r="AS36" s="1" t="s">
        <v>294</v>
      </c>
      <c r="AT36" s="2">
        <v>44269.931099537</v>
      </c>
    </row>
    <row r="37" ht="13.5" customHeight="1">
      <c r="A37" s="1">
        <v>2038212.0</v>
      </c>
      <c r="B37" s="1" t="s">
        <v>67</v>
      </c>
      <c r="C37" s="1" t="s">
        <v>68</v>
      </c>
      <c r="D37" s="1" t="s">
        <v>46</v>
      </c>
      <c r="E37" s="1" t="s">
        <v>312</v>
      </c>
      <c r="F37" s="1"/>
      <c r="G37" s="1" t="s">
        <v>70</v>
      </c>
      <c r="H37" s="1" t="s">
        <v>50</v>
      </c>
      <c r="I37" s="1">
        <v>26000.0</v>
      </c>
      <c r="J37" s="1"/>
      <c r="K37" s="1"/>
      <c r="L37" s="1" t="s">
        <v>291</v>
      </c>
      <c r="M37" s="1" t="s">
        <v>313</v>
      </c>
      <c r="N37" s="1" t="s">
        <v>283</v>
      </c>
      <c r="O37" s="1" t="s">
        <v>284</v>
      </c>
      <c r="P37" s="2">
        <v>43825.875</v>
      </c>
      <c r="Q37" s="1" t="s">
        <v>74</v>
      </c>
      <c r="R37" s="1"/>
      <c r="S37" s="1" t="s">
        <v>285</v>
      </c>
      <c r="T37" s="1">
        <v>3304557.0</v>
      </c>
      <c r="U37" s="1" t="s">
        <v>286</v>
      </c>
      <c r="V37" s="1" t="s">
        <v>287</v>
      </c>
      <c r="W37" s="1" t="s">
        <v>288</v>
      </c>
      <c r="X37" s="1"/>
      <c r="Y37" s="1" t="str">
        <f>"02022000315202086"</f>
        <v>02022000315202086</v>
      </c>
      <c r="Z37" s="1" t="s">
        <v>128</v>
      </c>
      <c r="AA37" s="1" t="s">
        <v>289</v>
      </c>
      <c r="AB37" s="1" t="str">
        <f t="shared" si="2"/>
        <v>33000167000101</v>
      </c>
      <c r="AC37" s="1"/>
      <c r="AD37" s="1" t="s">
        <v>116</v>
      </c>
      <c r="AE37" s="1"/>
      <c r="AF37" s="1">
        <v>-43.175</v>
      </c>
      <c r="AG37" s="1">
        <v>-22.903056</v>
      </c>
      <c r="AH37" s="1" t="s">
        <v>290</v>
      </c>
      <c r="AI37" s="1"/>
      <c r="AJ37" s="1" t="s">
        <v>291</v>
      </c>
      <c r="AK37" s="1" t="s">
        <v>306</v>
      </c>
      <c r="AL37" s="1" t="s">
        <v>79</v>
      </c>
      <c r="AM37" s="1" t="s">
        <v>65</v>
      </c>
      <c r="AN37" s="1" t="s">
        <v>292</v>
      </c>
      <c r="AO37" s="2">
        <v>44027.0</v>
      </c>
      <c r="AP37" s="2">
        <v>44238.4101157407</v>
      </c>
      <c r="AQ37" s="1" t="s">
        <v>80</v>
      </c>
      <c r="AR37" s="1" t="s">
        <v>314</v>
      </c>
      <c r="AS37" s="1" t="s">
        <v>294</v>
      </c>
      <c r="AT37" s="2">
        <v>44269.931099537</v>
      </c>
    </row>
    <row r="38" ht="13.5" customHeight="1">
      <c r="A38" s="1">
        <v>2042955.0</v>
      </c>
      <c r="B38" s="1" t="s">
        <v>67</v>
      </c>
      <c r="C38" s="1" t="s">
        <v>68</v>
      </c>
      <c r="D38" s="1" t="s">
        <v>46</v>
      </c>
      <c r="E38" s="1" t="s">
        <v>315</v>
      </c>
      <c r="F38" s="1"/>
      <c r="G38" s="1" t="s">
        <v>70</v>
      </c>
      <c r="H38" s="1" t="s">
        <v>50</v>
      </c>
      <c r="I38" s="1">
        <v>26000.0</v>
      </c>
      <c r="J38" s="1"/>
      <c r="K38" s="1"/>
      <c r="L38" s="1" t="s">
        <v>291</v>
      </c>
      <c r="M38" s="1" t="s">
        <v>316</v>
      </c>
      <c r="N38" s="1" t="s">
        <v>283</v>
      </c>
      <c r="O38" s="1" t="s">
        <v>284</v>
      </c>
      <c r="P38" s="2">
        <v>43825.875</v>
      </c>
      <c r="Q38" s="1" t="s">
        <v>74</v>
      </c>
      <c r="R38" s="1"/>
      <c r="S38" s="1" t="s">
        <v>285</v>
      </c>
      <c r="T38" s="1">
        <v>3304557.0</v>
      </c>
      <c r="U38" s="1" t="s">
        <v>286</v>
      </c>
      <c r="V38" s="1" t="s">
        <v>287</v>
      </c>
      <c r="W38" s="1" t="s">
        <v>288</v>
      </c>
      <c r="X38" s="1"/>
      <c r="Y38" s="1" t="str">
        <f>"02022000232202097"</f>
        <v>02022000232202097</v>
      </c>
      <c r="Z38" s="1" t="s">
        <v>128</v>
      </c>
      <c r="AA38" s="1" t="s">
        <v>289</v>
      </c>
      <c r="AB38" s="1" t="str">
        <f t="shared" si="2"/>
        <v>33000167000101</v>
      </c>
      <c r="AC38" s="1"/>
      <c r="AD38" s="1"/>
      <c r="AE38" s="1"/>
      <c r="AF38" s="1">
        <v>-43.175003</v>
      </c>
      <c r="AG38" s="1">
        <v>-22.903055</v>
      </c>
      <c r="AH38" s="1" t="s">
        <v>290</v>
      </c>
      <c r="AI38" s="1"/>
      <c r="AJ38" s="1" t="s">
        <v>291</v>
      </c>
      <c r="AK38" s="1"/>
      <c r="AL38" s="1" t="s">
        <v>79</v>
      </c>
      <c r="AM38" s="1" t="s">
        <v>65</v>
      </c>
      <c r="AN38" s="1" t="s">
        <v>292</v>
      </c>
      <c r="AO38" s="2">
        <v>44222.0</v>
      </c>
      <c r="AP38" s="2">
        <v>44222.6195023148</v>
      </c>
      <c r="AQ38" s="1" t="s">
        <v>80</v>
      </c>
      <c r="AR38" s="1" t="s">
        <v>298</v>
      </c>
      <c r="AS38" s="1" t="s">
        <v>317</v>
      </c>
      <c r="AT38" s="2">
        <v>44269.931099537</v>
      </c>
    </row>
    <row r="39" ht="13.5" customHeight="1">
      <c r="A39" s="1"/>
      <c r="B39" s="1" t="s">
        <v>46</v>
      </c>
      <c r="C39" s="1" t="s">
        <v>47</v>
      </c>
      <c r="D39" s="1"/>
      <c r="E39" s="1" t="s">
        <v>318</v>
      </c>
      <c r="F39" s="1"/>
      <c r="G39" s="1" t="s">
        <v>49</v>
      </c>
      <c r="H39" s="1" t="s">
        <v>50</v>
      </c>
      <c r="I39" s="1">
        <v>26000.0</v>
      </c>
      <c r="J39" s="1"/>
      <c r="K39" s="1" t="s">
        <v>51</v>
      </c>
      <c r="L39" s="1"/>
      <c r="M39" s="1" t="s">
        <v>319</v>
      </c>
      <c r="N39" s="1" t="s">
        <v>283</v>
      </c>
      <c r="O39" s="1" t="s">
        <v>284</v>
      </c>
      <c r="P39" s="2">
        <v>43825.867349537</v>
      </c>
      <c r="Q39" s="1" t="s">
        <v>74</v>
      </c>
      <c r="R39" s="1"/>
      <c r="S39" s="1" t="s">
        <v>285</v>
      </c>
      <c r="T39" s="1">
        <v>3304557.0</v>
      </c>
      <c r="U39" s="1" t="s">
        <v>286</v>
      </c>
      <c r="V39" s="1" t="s">
        <v>287</v>
      </c>
      <c r="W39" s="1" t="s">
        <v>288</v>
      </c>
      <c r="X39" s="1"/>
      <c r="Y39" s="1"/>
      <c r="Z39" s="1"/>
      <c r="AA39" s="1" t="s">
        <v>289</v>
      </c>
      <c r="AB39" s="1" t="str">
        <f t="shared" si="2"/>
        <v>33000167000101</v>
      </c>
      <c r="AC39" s="1"/>
      <c r="AD39" s="1" t="s">
        <v>149</v>
      </c>
      <c r="AE39" s="1"/>
      <c r="AF39" s="1">
        <v>-43.175003</v>
      </c>
      <c r="AG39" s="1">
        <v>-22.903055</v>
      </c>
      <c r="AH39" s="1" t="s">
        <v>320</v>
      </c>
      <c r="AI39" s="1"/>
      <c r="AJ39" s="1" t="s">
        <v>291</v>
      </c>
      <c r="AK39" s="1"/>
      <c r="AL39" s="1"/>
      <c r="AM39" s="1" t="s">
        <v>65</v>
      </c>
      <c r="AN39" s="1" t="s">
        <v>292</v>
      </c>
      <c r="AO39" s="1"/>
      <c r="AP39" s="2">
        <v>44193.5896412037</v>
      </c>
      <c r="AQ39" s="1"/>
      <c r="AR39" s="1" t="s">
        <v>293</v>
      </c>
      <c r="AS39" s="1" t="s">
        <v>317</v>
      </c>
      <c r="AT39" s="2">
        <v>44269.931099537</v>
      </c>
    </row>
    <row r="40" ht="13.5" customHeight="1">
      <c r="A40" s="1">
        <v>2037391.0</v>
      </c>
      <c r="B40" s="1" t="s">
        <v>67</v>
      </c>
      <c r="C40" s="1" t="s">
        <v>68</v>
      </c>
      <c r="D40" s="1" t="s">
        <v>46</v>
      </c>
      <c r="E40" s="1" t="s">
        <v>321</v>
      </c>
      <c r="F40" s="1"/>
      <c r="G40" s="1" t="s">
        <v>70</v>
      </c>
      <c r="H40" s="1" t="s">
        <v>50</v>
      </c>
      <c r="I40" s="1">
        <v>26000.0</v>
      </c>
      <c r="J40" s="1"/>
      <c r="K40" s="1"/>
      <c r="L40" s="1" t="s">
        <v>291</v>
      </c>
      <c r="M40" s="1" t="s">
        <v>322</v>
      </c>
      <c r="N40" s="1" t="s">
        <v>283</v>
      </c>
      <c r="O40" s="1" t="s">
        <v>284</v>
      </c>
      <c r="P40" s="2">
        <v>43825.8333333333</v>
      </c>
      <c r="Q40" s="1" t="s">
        <v>74</v>
      </c>
      <c r="R40" s="3">
        <v>43872.0</v>
      </c>
      <c r="S40" s="1" t="s">
        <v>285</v>
      </c>
      <c r="T40" s="1">
        <v>3304557.0</v>
      </c>
      <c r="U40" s="1" t="s">
        <v>286</v>
      </c>
      <c r="V40" s="1" t="s">
        <v>287</v>
      </c>
      <c r="W40" s="1" t="s">
        <v>288</v>
      </c>
      <c r="X40" s="1"/>
      <c r="Y40" s="1" t="str">
        <f>"02022000323202022"</f>
        <v>02022000323202022</v>
      </c>
      <c r="Z40" s="1" t="s">
        <v>128</v>
      </c>
      <c r="AA40" s="1" t="s">
        <v>289</v>
      </c>
      <c r="AB40" s="1" t="str">
        <f t="shared" si="2"/>
        <v>33000167000101</v>
      </c>
      <c r="AC40" s="1"/>
      <c r="AD40" s="1"/>
      <c r="AE40" s="1"/>
      <c r="AF40" s="1">
        <v>-43.175003</v>
      </c>
      <c r="AG40" s="1">
        <v>-22.903055</v>
      </c>
      <c r="AH40" s="1" t="s">
        <v>290</v>
      </c>
      <c r="AI40" s="1"/>
      <c r="AJ40" s="1" t="s">
        <v>291</v>
      </c>
      <c r="AK40" s="1"/>
      <c r="AL40" s="1" t="s">
        <v>79</v>
      </c>
      <c r="AM40" s="1" t="s">
        <v>65</v>
      </c>
      <c r="AN40" s="1" t="s">
        <v>292</v>
      </c>
      <c r="AO40" s="2">
        <v>43994.0</v>
      </c>
      <c r="AP40" s="2">
        <v>43994.5493055556</v>
      </c>
      <c r="AQ40" s="1" t="s">
        <v>80</v>
      </c>
      <c r="AR40" s="1" t="s">
        <v>298</v>
      </c>
      <c r="AS40" s="1"/>
      <c r="AT40" s="2">
        <v>44269.931099537</v>
      </c>
    </row>
    <row r="41" ht="13.5" customHeight="1">
      <c r="A41" s="1">
        <v>2037612.0</v>
      </c>
      <c r="B41" s="1" t="s">
        <v>67</v>
      </c>
      <c r="C41" s="1" t="s">
        <v>68</v>
      </c>
      <c r="D41" s="1" t="s">
        <v>46</v>
      </c>
      <c r="E41" s="1" t="s">
        <v>323</v>
      </c>
      <c r="F41" s="1"/>
      <c r="G41" s="1" t="s">
        <v>70</v>
      </c>
      <c r="H41" s="1" t="s">
        <v>50</v>
      </c>
      <c r="I41" s="1">
        <v>26000.0</v>
      </c>
      <c r="J41" s="1"/>
      <c r="K41" s="1"/>
      <c r="L41" s="1" t="s">
        <v>291</v>
      </c>
      <c r="M41" s="1" t="s">
        <v>324</v>
      </c>
      <c r="N41" s="1" t="s">
        <v>283</v>
      </c>
      <c r="O41" s="1" t="s">
        <v>284</v>
      </c>
      <c r="P41" s="2">
        <v>43825.8333333333</v>
      </c>
      <c r="Q41" s="1" t="s">
        <v>74</v>
      </c>
      <c r="R41" s="3">
        <v>43972.0</v>
      </c>
      <c r="S41" s="1" t="s">
        <v>285</v>
      </c>
      <c r="T41" s="1">
        <v>3304557.0</v>
      </c>
      <c r="U41" s="1" t="s">
        <v>286</v>
      </c>
      <c r="V41" s="1" t="s">
        <v>287</v>
      </c>
      <c r="W41" s="1" t="s">
        <v>288</v>
      </c>
      <c r="X41" s="1"/>
      <c r="Y41" s="1" t="str">
        <f>"02022000243202077"</f>
        <v>02022000243202077</v>
      </c>
      <c r="Z41" s="1" t="s">
        <v>128</v>
      </c>
      <c r="AA41" s="1" t="s">
        <v>289</v>
      </c>
      <c r="AB41" s="1" t="str">
        <f t="shared" si="2"/>
        <v>33000167000101</v>
      </c>
      <c r="AC41" s="1"/>
      <c r="AD41" s="1"/>
      <c r="AE41" s="1"/>
      <c r="AF41" s="1">
        <v>-43.175003</v>
      </c>
      <c r="AG41" s="1">
        <v>-22.903055</v>
      </c>
      <c r="AH41" s="1" t="s">
        <v>290</v>
      </c>
      <c r="AI41" s="1"/>
      <c r="AJ41" s="1" t="s">
        <v>291</v>
      </c>
      <c r="AK41" s="1"/>
      <c r="AL41" s="1" t="s">
        <v>79</v>
      </c>
      <c r="AM41" s="1" t="s">
        <v>65</v>
      </c>
      <c r="AN41" s="1" t="s">
        <v>292</v>
      </c>
      <c r="AO41" s="2">
        <v>44004.0</v>
      </c>
      <c r="AP41" s="2">
        <v>44004.5951851852</v>
      </c>
      <c r="AQ41" s="1" t="s">
        <v>80</v>
      </c>
      <c r="AR41" s="1" t="s">
        <v>298</v>
      </c>
      <c r="AS41" s="1" t="s">
        <v>294</v>
      </c>
      <c r="AT41" s="2">
        <v>44269.931099537</v>
      </c>
    </row>
    <row r="42" ht="13.5" customHeight="1">
      <c r="A42" s="1">
        <v>2038203.0</v>
      </c>
      <c r="B42" s="1" t="s">
        <v>67</v>
      </c>
      <c r="C42" s="1" t="s">
        <v>68</v>
      </c>
      <c r="D42" s="1" t="s">
        <v>46</v>
      </c>
      <c r="E42" s="1" t="s">
        <v>325</v>
      </c>
      <c r="F42" s="1"/>
      <c r="G42" s="1" t="s">
        <v>70</v>
      </c>
      <c r="H42" s="1" t="s">
        <v>50</v>
      </c>
      <c r="I42" s="1">
        <v>26000.0</v>
      </c>
      <c r="J42" s="1"/>
      <c r="K42" s="1"/>
      <c r="L42" s="1" t="s">
        <v>291</v>
      </c>
      <c r="M42" s="1" t="s">
        <v>326</v>
      </c>
      <c r="N42" s="1" t="s">
        <v>283</v>
      </c>
      <c r="O42" s="1" t="s">
        <v>284</v>
      </c>
      <c r="P42" s="2">
        <v>43825.8333333333</v>
      </c>
      <c r="Q42" s="1" t="s">
        <v>74</v>
      </c>
      <c r="R42" s="3">
        <v>44039.0</v>
      </c>
      <c r="S42" s="1" t="s">
        <v>285</v>
      </c>
      <c r="T42" s="1">
        <v>3304557.0</v>
      </c>
      <c r="U42" s="1" t="s">
        <v>286</v>
      </c>
      <c r="V42" s="1" t="s">
        <v>287</v>
      </c>
      <c r="W42" s="1" t="s">
        <v>288</v>
      </c>
      <c r="X42" s="1"/>
      <c r="Y42" s="1" t="str">
        <f>"02022000249202044"</f>
        <v>02022000249202044</v>
      </c>
      <c r="Z42" s="1" t="s">
        <v>128</v>
      </c>
      <c r="AA42" s="1" t="s">
        <v>289</v>
      </c>
      <c r="AB42" s="1" t="str">
        <f t="shared" si="2"/>
        <v>33000167000101</v>
      </c>
      <c r="AC42" s="1"/>
      <c r="AD42" s="1"/>
      <c r="AE42" s="1"/>
      <c r="AF42" s="1">
        <v>-43.175003</v>
      </c>
      <c r="AG42" s="1">
        <v>-22.903055</v>
      </c>
      <c r="AH42" s="1" t="s">
        <v>290</v>
      </c>
      <c r="AI42" s="1"/>
      <c r="AJ42" s="1" t="s">
        <v>291</v>
      </c>
      <c r="AK42" s="1"/>
      <c r="AL42" s="1" t="s">
        <v>79</v>
      </c>
      <c r="AM42" s="1" t="s">
        <v>65</v>
      </c>
      <c r="AN42" s="1" t="s">
        <v>292</v>
      </c>
      <c r="AO42" s="2">
        <v>44027.0</v>
      </c>
      <c r="AP42" s="2">
        <v>44027.4657175926</v>
      </c>
      <c r="AQ42" s="1" t="s">
        <v>80</v>
      </c>
      <c r="AR42" s="1" t="s">
        <v>298</v>
      </c>
      <c r="AS42" s="1" t="s">
        <v>294</v>
      </c>
      <c r="AT42" s="2">
        <v>44269.931099537</v>
      </c>
    </row>
    <row r="43" ht="13.5" customHeight="1">
      <c r="A43" s="1">
        <v>2038224.0</v>
      </c>
      <c r="B43" s="1" t="s">
        <v>67</v>
      </c>
      <c r="C43" s="1" t="s">
        <v>68</v>
      </c>
      <c r="D43" s="1" t="s">
        <v>46</v>
      </c>
      <c r="E43" s="1" t="s">
        <v>327</v>
      </c>
      <c r="F43" s="1"/>
      <c r="G43" s="1" t="s">
        <v>70</v>
      </c>
      <c r="H43" s="1" t="s">
        <v>50</v>
      </c>
      <c r="I43" s="1">
        <v>26000.0</v>
      </c>
      <c r="J43" s="1"/>
      <c r="K43" s="1"/>
      <c r="L43" s="1" t="s">
        <v>291</v>
      </c>
      <c r="M43" s="1" t="s">
        <v>328</v>
      </c>
      <c r="N43" s="1" t="s">
        <v>283</v>
      </c>
      <c r="O43" s="1" t="s">
        <v>284</v>
      </c>
      <c r="P43" s="2">
        <v>43825.8333333333</v>
      </c>
      <c r="Q43" s="1" t="s">
        <v>74</v>
      </c>
      <c r="R43" s="3">
        <v>43872.0</v>
      </c>
      <c r="S43" s="1" t="s">
        <v>285</v>
      </c>
      <c r="T43" s="1">
        <v>3304557.0</v>
      </c>
      <c r="U43" s="1" t="s">
        <v>286</v>
      </c>
      <c r="V43" s="1" t="s">
        <v>287</v>
      </c>
      <c r="W43" s="1" t="s">
        <v>288</v>
      </c>
      <c r="X43" s="1"/>
      <c r="Y43" s="1" t="str">
        <f>"02022000244202011"</f>
        <v>02022000244202011</v>
      </c>
      <c r="Z43" s="1" t="s">
        <v>128</v>
      </c>
      <c r="AA43" s="1" t="s">
        <v>289</v>
      </c>
      <c r="AB43" s="1" t="str">
        <f t="shared" si="2"/>
        <v>33000167000101</v>
      </c>
      <c r="AC43" s="1"/>
      <c r="AD43" s="1"/>
      <c r="AE43" s="1"/>
      <c r="AF43" s="1">
        <v>-43.174446</v>
      </c>
      <c r="AG43" s="1">
        <v>-22.9175</v>
      </c>
      <c r="AH43" s="1" t="s">
        <v>290</v>
      </c>
      <c r="AI43" s="1"/>
      <c r="AJ43" s="1" t="s">
        <v>291</v>
      </c>
      <c r="AK43" s="1"/>
      <c r="AL43" s="1" t="s">
        <v>79</v>
      </c>
      <c r="AM43" s="1" t="s">
        <v>65</v>
      </c>
      <c r="AN43" s="1" t="s">
        <v>292</v>
      </c>
      <c r="AO43" s="2">
        <v>44027.0</v>
      </c>
      <c r="AP43" s="2">
        <v>44027.7461458333</v>
      </c>
      <c r="AQ43" s="1" t="s">
        <v>80</v>
      </c>
      <c r="AR43" s="1" t="s">
        <v>298</v>
      </c>
      <c r="AS43" s="1" t="s">
        <v>294</v>
      </c>
      <c r="AT43" s="2">
        <v>44269.931099537</v>
      </c>
    </row>
    <row r="44" ht="13.5" customHeight="1">
      <c r="A44" s="1">
        <v>2038225.0</v>
      </c>
      <c r="B44" s="1" t="s">
        <v>67</v>
      </c>
      <c r="C44" s="1" t="s">
        <v>68</v>
      </c>
      <c r="D44" s="1" t="s">
        <v>46</v>
      </c>
      <c r="E44" s="1" t="s">
        <v>329</v>
      </c>
      <c r="F44" s="1"/>
      <c r="G44" s="1" t="s">
        <v>70</v>
      </c>
      <c r="H44" s="1" t="s">
        <v>50</v>
      </c>
      <c r="I44" s="1">
        <v>26000.0</v>
      </c>
      <c r="J44" s="1"/>
      <c r="K44" s="1"/>
      <c r="L44" s="1" t="s">
        <v>291</v>
      </c>
      <c r="M44" s="1" t="s">
        <v>330</v>
      </c>
      <c r="N44" s="1" t="s">
        <v>283</v>
      </c>
      <c r="O44" s="1" t="s">
        <v>284</v>
      </c>
      <c r="P44" s="2">
        <v>43825.8333333333</v>
      </c>
      <c r="Q44" s="1" t="s">
        <v>74</v>
      </c>
      <c r="R44" s="1"/>
      <c r="S44" s="1" t="s">
        <v>285</v>
      </c>
      <c r="T44" s="1">
        <v>3304557.0</v>
      </c>
      <c r="U44" s="1" t="s">
        <v>286</v>
      </c>
      <c r="V44" s="1" t="s">
        <v>287</v>
      </c>
      <c r="W44" s="1" t="s">
        <v>288</v>
      </c>
      <c r="X44" s="1"/>
      <c r="Y44" s="1" t="str">
        <f>"02022000250202079"</f>
        <v>02022000250202079</v>
      </c>
      <c r="Z44" s="1" t="s">
        <v>128</v>
      </c>
      <c r="AA44" s="1" t="s">
        <v>289</v>
      </c>
      <c r="AB44" s="1" t="str">
        <f t="shared" si="2"/>
        <v>33000167000101</v>
      </c>
      <c r="AC44" s="1"/>
      <c r="AD44" s="1"/>
      <c r="AE44" s="1"/>
      <c r="AF44" s="1">
        <v>-43.175003</v>
      </c>
      <c r="AG44" s="1">
        <v>-22.903055</v>
      </c>
      <c r="AH44" s="1" t="s">
        <v>290</v>
      </c>
      <c r="AI44" s="1"/>
      <c r="AJ44" s="1" t="s">
        <v>291</v>
      </c>
      <c r="AK44" s="1"/>
      <c r="AL44" s="1" t="s">
        <v>79</v>
      </c>
      <c r="AM44" s="1" t="s">
        <v>65</v>
      </c>
      <c r="AN44" s="1" t="s">
        <v>292</v>
      </c>
      <c r="AO44" s="2">
        <v>44027.0</v>
      </c>
      <c r="AP44" s="2">
        <v>44027.7543518519</v>
      </c>
      <c r="AQ44" s="1" t="s">
        <v>80</v>
      </c>
      <c r="AR44" s="1" t="s">
        <v>298</v>
      </c>
      <c r="AS44" s="1" t="s">
        <v>294</v>
      </c>
      <c r="AT44" s="2">
        <v>44269.931099537</v>
      </c>
    </row>
    <row r="45" ht="13.5" customHeight="1">
      <c r="A45" s="1"/>
      <c r="B45" s="1" t="s">
        <v>46</v>
      </c>
      <c r="C45" s="1" t="s">
        <v>47</v>
      </c>
      <c r="D45" s="1"/>
      <c r="E45" s="1" t="s">
        <v>331</v>
      </c>
      <c r="F45" s="1"/>
      <c r="G45" s="1" t="s">
        <v>49</v>
      </c>
      <c r="H45" s="1" t="s">
        <v>93</v>
      </c>
      <c r="I45" s="1">
        <v>4877.84</v>
      </c>
      <c r="J45" s="1"/>
      <c r="K45" s="1"/>
      <c r="L45" s="1"/>
      <c r="M45" s="1" t="s">
        <v>332</v>
      </c>
      <c r="N45" s="1" t="s">
        <v>142</v>
      </c>
      <c r="O45" s="1" t="s">
        <v>143</v>
      </c>
      <c r="P45" s="2">
        <v>43825.7960416667</v>
      </c>
      <c r="Q45" s="1" t="s">
        <v>74</v>
      </c>
      <c r="R45" s="1"/>
      <c r="S45" s="1"/>
      <c r="T45" s="1">
        <v>5107909.0</v>
      </c>
      <c r="U45" s="1" t="s">
        <v>333</v>
      </c>
      <c r="V45" s="1" t="s">
        <v>164</v>
      </c>
      <c r="W45" s="1" t="s">
        <v>177</v>
      </c>
      <c r="X45" s="1"/>
      <c r="Y45" s="1"/>
      <c r="Z45" s="1" t="s">
        <v>147</v>
      </c>
      <c r="AA45" s="1" t="s">
        <v>334</v>
      </c>
      <c r="AB45" s="1" t="str">
        <f>"***081079**"</f>
        <v>***081079**</v>
      </c>
      <c r="AC45" s="1"/>
      <c r="AD45" s="1" t="s">
        <v>62</v>
      </c>
      <c r="AE45" s="1"/>
      <c r="AF45" s="1">
        <v>-55.483334</v>
      </c>
      <c r="AG45" s="1">
        <v>-11.815556</v>
      </c>
      <c r="AH45" s="1" t="s">
        <v>335</v>
      </c>
      <c r="AI45" s="1"/>
      <c r="AJ45" s="1" t="s">
        <v>336</v>
      </c>
      <c r="AK45" s="1"/>
      <c r="AL45" s="1"/>
      <c r="AM45" s="1" t="s">
        <v>65</v>
      </c>
      <c r="AN45" s="1" t="s">
        <v>337</v>
      </c>
      <c r="AO45" s="1"/>
      <c r="AP45" s="2">
        <v>43826.5115277778</v>
      </c>
      <c r="AQ45" s="1"/>
      <c r="AR45" s="1" t="s">
        <v>338</v>
      </c>
      <c r="AS45" s="1"/>
      <c r="AT45" s="2">
        <v>44269.931099537</v>
      </c>
    </row>
    <row r="46" ht="13.5" customHeight="1">
      <c r="A46" s="1">
        <v>2038166.0</v>
      </c>
      <c r="B46" s="1" t="s">
        <v>67</v>
      </c>
      <c r="C46" s="1" t="s">
        <v>68</v>
      </c>
      <c r="D46" s="1" t="s">
        <v>46</v>
      </c>
      <c r="E46" s="1" t="s">
        <v>339</v>
      </c>
      <c r="F46" s="1"/>
      <c r="G46" s="1" t="s">
        <v>70</v>
      </c>
      <c r="H46" s="1" t="s">
        <v>50</v>
      </c>
      <c r="I46" s="1">
        <v>26000.0</v>
      </c>
      <c r="J46" s="1"/>
      <c r="K46" s="1"/>
      <c r="L46" s="1" t="s">
        <v>291</v>
      </c>
      <c r="M46" s="1" t="s">
        <v>340</v>
      </c>
      <c r="N46" s="1" t="s">
        <v>283</v>
      </c>
      <c r="O46" s="1" t="s">
        <v>284</v>
      </c>
      <c r="P46" s="2">
        <v>43825.7916666667</v>
      </c>
      <c r="Q46" s="1" t="s">
        <v>74</v>
      </c>
      <c r="R46" s="3">
        <v>43878.0</v>
      </c>
      <c r="S46" s="1" t="s">
        <v>285</v>
      </c>
      <c r="T46" s="1">
        <v>3304557.0</v>
      </c>
      <c r="U46" s="1" t="s">
        <v>286</v>
      </c>
      <c r="V46" s="1" t="s">
        <v>287</v>
      </c>
      <c r="W46" s="1" t="s">
        <v>288</v>
      </c>
      <c r="X46" s="1"/>
      <c r="Y46" s="1" t="str">
        <f>"02022000322202088"</f>
        <v>02022000322202088</v>
      </c>
      <c r="Z46" s="1" t="s">
        <v>128</v>
      </c>
      <c r="AA46" s="1" t="s">
        <v>289</v>
      </c>
      <c r="AB46" s="1" t="str">
        <f t="shared" ref="AB46:AB51" si="3">"33000167000101"</f>
        <v>33000167000101</v>
      </c>
      <c r="AC46" s="1"/>
      <c r="AD46" s="1"/>
      <c r="AE46" s="1"/>
      <c r="AF46" s="1">
        <v>-43.175003</v>
      </c>
      <c r="AG46" s="1">
        <v>-22.903055</v>
      </c>
      <c r="AH46" s="1" t="s">
        <v>290</v>
      </c>
      <c r="AI46" s="1"/>
      <c r="AJ46" s="1" t="s">
        <v>291</v>
      </c>
      <c r="AK46" s="1"/>
      <c r="AL46" s="1" t="s">
        <v>79</v>
      </c>
      <c r="AM46" s="1" t="s">
        <v>65</v>
      </c>
      <c r="AN46" s="1" t="s">
        <v>292</v>
      </c>
      <c r="AO46" s="2">
        <v>44025.0</v>
      </c>
      <c r="AP46" s="2">
        <v>44025.7322685185</v>
      </c>
      <c r="AQ46" s="1" t="s">
        <v>80</v>
      </c>
      <c r="AR46" s="1" t="s">
        <v>298</v>
      </c>
      <c r="AS46" s="1" t="s">
        <v>317</v>
      </c>
      <c r="AT46" s="2">
        <v>44269.931099537</v>
      </c>
    </row>
    <row r="47" ht="13.5" customHeight="1">
      <c r="A47" s="1">
        <v>2038228.0</v>
      </c>
      <c r="B47" s="1" t="s">
        <v>67</v>
      </c>
      <c r="C47" s="1" t="s">
        <v>68</v>
      </c>
      <c r="D47" s="1" t="s">
        <v>46</v>
      </c>
      <c r="E47" s="1" t="s">
        <v>341</v>
      </c>
      <c r="F47" s="1"/>
      <c r="G47" s="1" t="s">
        <v>70</v>
      </c>
      <c r="H47" s="1" t="s">
        <v>50</v>
      </c>
      <c r="I47" s="1">
        <v>26000.0</v>
      </c>
      <c r="J47" s="1"/>
      <c r="K47" s="1"/>
      <c r="L47" s="1" t="s">
        <v>291</v>
      </c>
      <c r="M47" s="1" t="s">
        <v>342</v>
      </c>
      <c r="N47" s="1" t="s">
        <v>283</v>
      </c>
      <c r="O47" s="1" t="s">
        <v>284</v>
      </c>
      <c r="P47" s="2">
        <v>43825.7916666667</v>
      </c>
      <c r="Q47" s="1" t="s">
        <v>74</v>
      </c>
      <c r="R47" s="1"/>
      <c r="S47" s="1" t="s">
        <v>285</v>
      </c>
      <c r="T47" s="1">
        <v>3304557.0</v>
      </c>
      <c r="U47" s="1" t="s">
        <v>286</v>
      </c>
      <c r="V47" s="1" t="s">
        <v>287</v>
      </c>
      <c r="W47" s="1" t="s">
        <v>288</v>
      </c>
      <c r="X47" s="1"/>
      <c r="Y47" s="1" t="str">
        <f>"02022000241202088"</f>
        <v>02022000241202088</v>
      </c>
      <c r="Z47" s="1" t="s">
        <v>128</v>
      </c>
      <c r="AA47" s="1" t="s">
        <v>289</v>
      </c>
      <c r="AB47" s="1" t="str">
        <f t="shared" si="3"/>
        <v>33000167000101</v>
      </c>
      <c r="AC47" s="1"/>
      <c r="AD47" s="1"/>
      <c r="AE47" s="1"/>
      <c r="AF47" s="1">
        <v>-43.175003</v>
      </c>
      <c r="AG47" s="1">
        <v>-22.903055</v>
      </c>
      <c r="AH47" s="1" t="s">
        <v>290</v>
      </c>
      <c r="AI47" s="1"/>
      <c r="AJ47" s="1" t="s">
        <v>291</v>
      </c>
      <c r="AK47" s="1"/>
      <c r="AL47" s="1" t="s">
        <v>79</v>
      </c>
      <c r="AM47" s="1" t="s">
        <v>65</v>
      </c>
      <c r="AN47" s="1" t="s">
        <v>292</v>
      </c>
      <c r="AO47" s="2">
        <v>44027.0</v>
      </c>
      <c r="AP47" s="2">
        <v>44027.7617824074</v>
      </c>
      <c r="AQ47" s="1" t="s">
        <v>80</v>
      </c>
      <c r="AR47" s="1" t="s">
        <v>298</v>
      </c>
      <c r="AS47" s="1" t="s">
        <v>317</v>
      </c>
      <c r="AT47" s="2">
        <v>44269.931099537</v>
      </c>
    </row>
    <row r="48" ht="13.5" customHeight="1">
      <c r="A48" s="1">
        <v>2038229.0</v>
      </c>
      <c r="B48" s="1" t="s">
        <v>67</v>
      </c>
      <c r="C48" s="1" t="s">
        <v>68</v>
      </c>
      <c r="D48" s="1" t="s">
        <v>46</v>
      </c>
      <c r="E48" s="1" t="s">
        <v>343</v>
      </c>
      <c r="F48" s="1"/>
      <c r="G48" s="1" t="s">
        <v>70</v>
      </c>
      <c r="H48" s="1" t="s">
        <v>50</v>
      </c>
      <c r="I48" s="1">
        <v>26000.0</v>
      </c>
      <c r="J48" s="1"/>
      <c r="K48" s="1"/>
      <c r="L48" s="1" t="s">
        <v>291</v>
      </c>
      <c r="M48" s="1" t="s">
        <v>344</v>
      </c>
      <c r="N48" s="1" t="s">
        <v>283</v>
      </c>
      <c r="O48" s="1" t="s">
        <v>284</v>
      </c>
      <c r="P48" s="2">
        <v>43825.7916666667</v>
      </c>
      <c r="Q48" s="1" t="s">
        <v>74</v>
      </c>
      <c r="R48" s="1"/>
      <c r="S48" s="1" t="s">
        <v>285</v>
      </c>
      <c r="T48" s="1">
        <v>3304557.0</v>
      </c>
      <c r="U48" s="1" t="s">
        <v>286</v>
      </c>
      <c r="V48" s="1" t="s">
        <v>287</v>
      </c>
      <c r="W48" s="1" t="s">
        <v>288</v>
      </c>
      <c r="X48" s="1"/>
      <c r="Y48" s="1" t="str">
        <f>"02022000240202033"</f>
        <v>02022000240202033</v>
      </c>
      <c r="Z48" s="1" t="s">
        <v>128</v>
      </c>
      <c r="AA48" s="1" t="s">
        <v>289</v>
      </c>
      <c r="AB48" s="1" t="str">
        <f t="shared" si="3"/>
        <v>33000167000101</v>
      </c>
      <c r="AC48" s="1"/>
      <c r="AD48" s="1"/>
      <c r="AE48" s="1"/>
      <c r="AF48" s="1">
        <v>-43.175003</v>
      </c>
      <c r="AG48" s="1">
        <v>-22.903055</v>
      </c>
      <c r="AH48" s="1" t="s">
        <v>290</v>
      </c>
      <c r="AI48" s="1"/>
      <c r="AJ48" s="1" t="s">
        <v>291</v>
      </c>
      <c r="AK48" s="1"/>
      <c r="AL48" s="1" t="s">
        <v>79</v>
      </c>
      <c r="AM48" s="1" t="s">
        <v>65</v>
      </c>
      <c r="AN48" s="1" t="s">
        <v>292</v>
      </c>
      <c r="AO48" s="2">
        <v>44027.0</v>
      </c>
      <c r="AP48" s="2">
        <v>44027.7647685185</v>
      </c>
      <c r="AQ48" s="1" t="s">
        <v>80</v>
      </c>
      <c r="AR48" s="1" t="s">
        <v>298</v>
      </c>
      <c r="AS48" s="1" t="s">
        <v>317</v>
      </c>
      <c r="AT48" s="2">
        <v>44269.931099537</v>
      </c>
    </row>
    <row r="49" ht="13.5" customHeight="1">
      <c r="A49" s="1">
        <v>2038230.0</v>
      </c>
      <c r="B49" s="1" t="s">
        <v>67</v>
      </c>
      <c r="C49" s="1" t="s">
        <v>68</v>
      </c>
      <c r="D49" s="1" t="s">
        <v>46</v>
      </c>
      <c r="E49" s="1" t="s">
        <v>345</v>
      </c>
      <c r="F49" s="1"/>
      <c r="G49" s="1" t="s">
        <v>70</v>
      </c>
      <c r="H49" s="1" t="s">
        <v>50</v>
      </c>
      <c r="I49" s="1">
        <v>26000.0</v>
      </c>
      <c r="J49" s="1"/>
      <c r="K49" s="1"/>
      <c r="L49" s="1" t="s">
        <v>291</v>
      </c>
      <c r="M49" s="1" t="s">
        <v>346</v>
      </c>
      <c r="N49" s="1" t="s">
        <v>283</v>
      </c>
      <c r="O49" s="1" t="s">
        <v>284</v>
      </c>
      <c r="P49" s="2">
        <v>43825.7916666667</v>
      </c>
      <c r="Q49" s="1" t="s">
        <v>74</v>
      </c>
      <c r="R49" s="3">
        <v>43880.0</v>
      </c>
      <c r="S49" s="1" t="s">
        <v>285</v>
      </c>
      <c r="T49" s="1">
        <v>3304557.0</v>
      </c>
      <c r="U49" s="1" t="s">
        <v>286</v>
      </c>
      <c r="V49" s="1" t="s">
        <v>287</v>
      </c>
      <c r="W49" s="1" t="s">
        <v>288</v>
      </c>
      <c r="X49" s="1"/>
      <c r="Y49" s="1" t="str">
        <f>"02022000239202017"</f>
        <v>02022000239202017</v>
      </c>
      <c r="Z49" s="1" t="s">
        <v>128</v>
      </c>
      <c r="AA49" s="1" t="s">
        <v>289</v>
      </c>
      <c r="AB49" s="1" t="str">
        <f t="shared" si="3"/>
        <v>33000167000101</v>
      </c>
      <c r="AC49" s="1"/>
      <c r="AD49" s="1"/>
      <c r="AE49" s="1"/>
      <c r="AF49" s="1">
        <v>-43.175003</v>
      </c>
      <c r="AG49" s="1">
        <v>-22.903055</v>
      </c>
      <c r="AH49" s="1" t="s">
        <v>290</v>
      </c>
      <c r="AI49" s="1"/>
      <c r="AJ49" s="1" t="s">
        <v>291</v>
      </c>
      <c r="AK49" s="1"/>
      <c r="AL49" s="1" t="s">
        <v>79</v>
      </c>
      <c r="AM49" s="1" t="s">
        <v>65</v>
      </c>
      <c r="AN49" s="1" t="s">
        <v>292</v>
      </c>
      <c r="AO49" s="2">
        <v>44027.0</v>
      </c>
      <c r="AP49" s="2">
        <v>44027.7671527778</v>
      </c>
      <c r="AQ49" s="1" t="s">
        <v>80</v>
      </c>
      <c r="AR49" s="1" t="s">
        <v>298</v>
      </c>
      <c r="AS49" s="1" t="s">
        <v>294</v>
      </c>
      <c r="AT49" s="2">
        <v>44269.931099537</v>
      </c>
    </row>
    <row r="50" ht="13.5" customHeight="1">
      <c r="A50" s="1">
        <v>2037610.0</v>
      </c>
      <c r="B50" s="1" t="s">
        <v>67</v>
      </c>
      <c r="C50" s="1" t="s">
        <v>68</v>
      </c>
      <c r="D50" s="1" t="s">
        <v>46</v>
      </c>
      <c r="E50" s="1" t="s">
        <v>347</v>
      </c>
      <c r="F50" s="1"/>
      <c r="G50" s="1" t="s">
        <v>70</v>
      </c>
      <c r="H50" s="1" t="s">
        <v>50</v>
      </c>
      <c r="I50" s="1">
        <v>26000.0</v>
      </c>
      <c r="J50" s="1"/>
      <c r="K50" s="1"/>
      <c r="L50" s="1" t="s">
        <v>291</v>
      </c>
      <c r="M50" s="1" t="s">
        <v>348</v>
      </c>
      <c r="N50" s="1" t="s">
        <v>283</v>
      </c>
      <c r="O50" s="1" t="s">
        <v>284</v>
      </c>
      <c r="P50" s="2">
        <v>43825.75</v>
      </c>
      <c r="Q50" s="1" t="s">
        <v>74</v>
      </c>
      <c r="R50" s="3">
        <v>43880.0</v>
      </c>
      <c r="S50" s="1" t="s">
        <v>285</v>
      </c>
      <c r="T50" s="1">
        <v>3304557.0</v>
      </c>
      <c r="U50" s="1" t="s">
        <v>286</v>
      </c>
      <c r="V50" s="1" t="s">
        <v>287</v>
      </c>
      <c r="W50" s="1" t="s">
        <v>288</v>
      </c>
      <c r="X50" s="1"/>
      <c r="Y50" s="1" t="str">
        <f>"02022000234202086"</f>
        <v>02022000234202086</v>
      </c>
      <c r="Z50" s="1" t="s">
        <v>128</v>
      </c>
      <c r="AA50" s="1" t="s">
        <v>289</v>
      </c>
      <c r="AB50" s="1" t="str">
        <f t="shared" si="3"/>
        <v>33000167000101</v>
      </c>
      <c r="AC50" s="1"/>
      <c r="AD50" s="1"/>
      <c r="AE50" s="1"/>
      <c r="AF50" s="1">
        <v>-43.175003</v>
      </c>
      <c r="AG50" s="1">
        <v>-22.903055</v>
      </c>
      <c r="AH50" s="1" t="s">
        <v>290</v>
      </c>
      <c r="AI50" s="1"/>
      <c r="AJ50" s="1" t="s">
        <v>291</v>
      </c>
      <c r="AK50" s="1"/>
      <c r="AL50" s="1" t="s">
        <v>79</v>
      </c>
      <c r="AM50" s="1"/>
      <c r="AN50" s="1" t="s">
        <v>292</v>
      </c>
      <c r="AO50" s="2">
        <v>44004.0</v>
      </c>
      <c r="AP50" s="2">
        <v>44004.5900925926</v>
      </c>
      <c r="AQ50" s="1" t="s">
        <v>80</v>
      </c>
      <c r="AR50" s="1" t="s">
        <v>298</v>
      </c>
      <c r="AS50" s="1" t="s">
        <v>317</v>
      </c>
      <c r="AT50" s="2">
        <v>44269.931099537</v>
      </c>
    </row>
    <row r="51" ht="13.5" customHeight="1">
      <c r="A51" s="1">
        <v>2034778.0</v>
      </c>
      <c r="B51" s="1" t="s">
        <v>67</v>
      </c>
      <c r="C51" s="1" t="s">
        <v>68</v>
      </c>
      <c r="D51" s="1" t="s">
        <v>46</v>
      </c>
      <c r="E51" s="1" t="s">
        <v>349</v>
      </c>
      <c r="F51" s="1"/>
      <c r="G51" s="1" t="s">
        <v>70</v>
      </c>
      <c r="H51" s="1" t="s">
        <v>50</v>
      </c>
      <c r="I51" s="1">
        <v>832000.0</v>
      </c>
      <c r="J51" s="1"/>
      <c r="K51" s="1"/>
      <c r="L51" s="1" t="s">
        <v>291</v>
      </c>
      <c r="M51" s="1" t="s">
        <v>350</v>
      </c>
      <c r="N51" s="1" t="s">
        <v>283</v>
      </c>
      <c r="O51" s="1" t="s">
        <v>284</v>
      </c>
      <c r="P51" s="2">
        <v>43825.7083333333</v>
      </c>
      <c r="Q51" s="1" t="s">
        <v>74</v>
      </c>
      <c r="R51" s="3">
        <v>43900.0</v>
      </c>
      <c r="S51" s="1" t="s">
        <v>351</v>
      </c>
      <c r="T51" s="1">
        <v>3304557.0</v>
      </c>
      <c r="U51" s="1" t="s">
        <v>286</v>
      </c>
      <c r="V51" s="1" t="s">
        <v>287</v>
      </c>
      <c r="W51" s="1" t="s">
        <v>288</v>
      </c>
      <c r="X51" s="1"/>
      <c r="Y51" s="1" t="str">
        <f>"02022001052202022"</f>
        <v>02022001052202022</v>
      </c>
      <c r="Z51" s="1" t="s">
        <v>128</v>
      </c>
      <c r="AA51" s="1" t="s">
        <v>289</v>
      </c>
      <c r="AB51" s="1" t="str">
        <f t="shared" si="3"/>
        <v>33000167000101</v>
      </c>
      <c r="AC51" s="1"/>
      <c r="AD51" s="1"/>
      <c r="AE51" s="1"/>
      <c r="AF51" s="1">
        <v>-43.174725</v>
      </c>
      <c r="AG51" s="1">
        <v>-22.903889</v>
      </c>
      <c r="AH51" s="1" t="s">
        <v>290</v>
      </c>
      <c r="AI51" s="1"/>
      <c r="AJ51" s="1" t="s">
        <v>291</v>
      </c>
      <c r="AK51" s="1"/>
      <c r="AL51" s="1" t="s">
        <v>79</v>
      </c>
      <c r="AM51" s="1" t="s">
        <v>65</v>
      </c>
      <c r="AN51" s="1" t="s">
        <v>292</v>
      </c>
      <c r="AO51" s="2">
        <v>43889.0</v>
      </c>
      <c r="AP51" s="2">
        <v>43889.758599537</v>
      </c>
      <c r="AQ51" s="1" t="s">
        <v>80</v>
      </c>
      <c r="AR51" s="1" t="s">
        <v>298</v>
      </c>
      <c r="AS51" s="1" t="s">
        <v>352</v>
      </c>
      <c r="AT51" s="2">
        <v>44269.931099537</v>
      </c>
    </row>
    <row r="52" ht="13.5" customHeight="1">
      <c r="A52" s="1"/>
      <c r="B52" s="1" t="s">
        <v>46</v>
      </c>
      <c r="C52" s="1" t="s">
        <v>47</v>
      </c>
      <c r="D52" s="1"/>
      <c r="E52" s="1" t="s">
        <v>353</v>
      </c>
      <c r="F52" s="1"/>
      <c r="G52" s="1" t="s">
        <v>49</v>
      </c>
      <c r="H52" s="1" t="s">
        <v>93</v>
      </c>
      <c r="I52" s="1">
        <v>3094.8</v>
      </c>
      <c r="J52" s="1"/>
      <c r="K52" s="1"/>
      <c r="L52" s="1"/>
      <c r="M52" s="1" t="s">
        <v>354</v>
      </c>
      <c r="N52" s="1" t="s">
        <v>142</v>
      </c>
      <c r="O52" s="1" t="s">
        <v>143</v>
      </c>
      <c r="P52" s="2">
        <v>43825.6314236111</v>
      </c>
      <c r="Q52" s="1" t="s">
        <v>74</v>
      </c>
      <c r="R52" s="3">
        <v>43826.0</v>
      </c>
      <c r="S52" s="1"/>
      <c r="T52" s="1">
        <v>4106902.0</v>
      </c>
      <c r="U52" s="1" t="s">
        <v>355</v>
      </c>
      <c r="V52" s="1" t="s">
        <v>176</v>
      </c>
      <c r="W52" s="1" t="s">
        <v>177</v>
      </c>
      <c r="X52" s="1"/>
      <c r="Y52" s="1"/>
      <c r="Z52" s="1" t="s">
        <v>147</v>
      </c>
      <c r="AA52" s="1" t="s">
        <v>356</v>
      </c>
      <c r="AB52" s="1" t="str">
        <f>"34478149000100"</f>
        <v>34478149000100</v>
      </c>
      <c r="AC52" s="1"/>
      <c r="AD52" s="1" t="s">
        <v>62</v>
      </c>
      <c r="AE52" s="1"/>
      <c r="AF52" s="1">
        <v>-49.256111</v>
      </c>
      <c r="AG52" s="1">
        <v>-25.388332</v>
      </c>
      <c r="AH52" s="1" t="s">
        <v>357</v>
      </c>
      <c r="AI52" s="1"/>
      <c r="AJ52" s="1" t="s">
        <v>358</v>
      </c>
      <c r="AK52" s="1"/>
      <c r="AL52" s="1"/>
      <c r="AM52" s="1" t="s">
        <v>65</v>
      </c>
      <c r="AN52" s="1" t="s">
        <v>359</v>
      </c>
      <c r="AO52" s="1"/>
      <c r="AP52" s="2">
        <v>43995.5162037037</v>
      </c>
      <c r="AQ52" s="1"/>
      <c r="AR52" s="1" t="s">
        <v>360</v>
      </c>
      <c r="AS52" s="1"/>
      <c r="AT52" s="2">
        <v>44269.931099537</v>
      </c>
    </row>
    <row r="53" ht="13.5" customHeight="1">
      <c r="A53" s="1">
        <v>2037710.0</v>
      </c>
      <c r="B53" s="1" t="s">
        <v>67</v>
      </c>
      <c r="C53" s="1" t="s">
        <v>68</v>
      </c>
      <c r="D53" s="1" t="s">
        <v>46</v>
      </c>
      <c r="E53" s="1" t="s">
        <v>361</v>
      </c>
      <c r="F53" s="1"/>
      <c r="G53" s="1" t="s">
        <v>70</v>
      </c>
      <c r="H53" s="1" t="s">
        <v>50</v>
      </c>
      <c r="I53" s="1">
        <v>51500.0</v>
      </c>
      <c r="J53" s="1"/>
      <c r="K53" s="1"/>
      <c r="L53" s="1" t="s">
        <v>244</v>
      </c>
      <c r="M53" s="1" t="s">
        <v>362</v>
      </c>
      <c r="N53" s="1" t="s">
        <v>72</v>
      </c>
      <c r="O53" s="1" t="s">
        <v>73</v>
      </c>
      <c r="P53" s="2">
        <v>43825.625</v>
      </c>
      <c r="Q53" s="1" t="s">
        <v>74</v>
      </c>
      <c r="R53" s="3">
        <v>43836.0</v>
      </c>
      <c r="S53" s="1"/>
      <c r="T53" s="1">
        <v>3148103.0</v>
      </c>
      <c r="U53" s="1" t="s">
        <v>246</v>
      </c>
      <c r="V53" s="1" t="s">
        <v>126</v>
      </c>
      <c r="W53" s="1" t="s">
        <v>127</v>
      </c>
      <c r="X53" s="1"/>
      <c r="Y53" s="1" t="str">
        <f>"02553000283202011"</f>
        <v>02553000283202011</v>
      </c>
      <c r="Z53" s="1" t="s">
        <v>76</v>
      </c>
      <c r="AA53" s="1" t="s">
        <v>247</v>
      </c>
      <c r="AB53" s="1" t="str">
        <f>"***154316**"</f>
        <v>***154316**</v>
      </c>
      <c r="AC53" s="1"/>
      <c r="AD53" s="1" t="s">
        <v>116</v>
      </c>
      <c r="AE53" s="1"/>
      <c r="AF53" s="1">
        <v>-46.987778</v>
      </c>
      <c r="AG53" s="1">
        <v>-18.959444</v>
      </c>
      <c r="AH53" s="1" t="s">
        <v>363</v>
      </c>
      <c r="AI53" s="1"/>
      <c r="AJ53" s="1" t="s">
        <v>244</v>
      </c>
      <c r="AK53" s="1"/>
      <c r="AL53" s="1" t="s">
        <v>118</v>
      </c>
      <c r="AM53" s="1" t="s">
        <v>65</v>
      </c>
      <c r="AN53" s="1" t="s">
        <v>249</v>
      </c>
      <c r="AO53" s="2">
        <v>44007.0</v>
      </c>
      <c r="AP53" s="2">
        <v>44104.4336226852</v>
      </c>
      <c r="AQ53" s="1" t="s">
        <v>80</v>
      </c>
      <c r="AR53" s="1" t="s">
        <v>81</v>
      </c>
      <c r="AS53" s="1"/>
      <c r="AT53" s="2">
        <v>44269.931099537</v>
      </c>
    </row>
    <row r="54" ht="13.5" customHeight="1">
      <c r="A54" s="1">
        <v>2036299.0</v>
      </c>
      <c r="B54" s="1" t="s">
        <v>67</v>
      </c>
      <c r="C54" s="1" t="s">
        <v>68</v>
      </c>
      <c r="D54" s="1" t="s">
        <v>46</v>
      </c>
      <c r="E54" s="1" t="s">
        <v>364</v>
      </c>
      <c r="F54" s="1"/>
      <c r="G54" s="1" t="s">
        <v>70</v>
      </c>
      <c r="H54" s="1" t="s">
        <v>50</v>
      </c>
      <c r="I54" s="1">
        <v>101500.0</v>
      </c>
      <c r="J54" s="1"/>
      <c r="K54" s="1"/>
      <c r="L54" s="1" t="s">
        <v>358</v>
      </c>
      <c r="M54" s="1" t="s">
        <v>365</v>
      </c>
      <c r="N54" s="1" t="s">
        <v>72</v>
      </c>
      <c r="O54" s="1" t="s">
        <v>73</v>
      </c>
      <c r="P54" s="2">
        <v>43825.5416666667</v>
      </c>
      <c r="Q54" s="1" t="s">
        <v>55</v>
      </c>
      <c r="R54" s="1"/>
      <c r="S54" s="1"/>
      <c r="T54" s="1">
        <v>4106902.0</v>
      </c>
      <c r="U54" s="1" t="s">
        <v>355</v>
      </c>
      <c r="V54" s="1" t="s">
        <v>176</v>
      </c>
      <c r="W54" s="1" t="s">
        <v>177</v>
      </c>
      <c r="X54" s="1"/>
      <c r="Y54" s="1" t="str">
        <f>"02017000273202052"</f>
        <v>02017000273202052</v>
      </c>
      <c r="Z54" s="1" t="s">
        <v>76</v>
      </c>
      <c r="AA54" s="1" t="s">
        <v>366</v>
      </c>
      <c r="AB54" s="1" t="str">
        <f t="shared" ref="AB54:AB55" si="4">"82222290000182"</f>
        <v>82222290000182</v>
      </c>
      <c r="AC54" s="1"/>
      <c r="AD54" s="1"/>
      <c r="AE54" s="1"/>
      <c r="AF54" s="1">
        <v>-49.256111</v>
      </c>
      <c r="AG54" s="1">
        <v>-25.388332</v>
      </c>
      <c r="AH54" s="1" t="s">
        <v>367</v>
      </c>
      <c r="AI54" s="1"/>
      <c r="AJ54" s="1" t="s">
        <v>358</v>
      </c>
      <c r="AK54" s="1"/>
      <c r="AL54" s="1" t="s">
        <v>79</v>
      </c>
      <c r="AM54" s="1" t="s">
        <v>65</v>
      </c>
      <c r="AN54" s="1" t="s">
        <v>359</v>
      </c>
      <c r="AO54" s="2">
        <v>43944.0</v>
      </c>
      <c r="AP54" s="2">
        <v>43944.6751041667</v>
      </c>
      <c r="AQ54" s="1" t="s">
        <v>80</v>
      </c>
      <c r="AR54" s="1" t="s">
        <v>81</v>
      </c>
      <c r="AS54" s="1"/>
      <c r="AT54" s="2">
        <v>44269.931099537</v>
      </c>
    </row>
    <row r="55" ht="13.5" customHeight="1">
      <c r="A55" s="1"/>
      <c r="B55" s="1" t="s">
        <v>46</v>
      </c>
      <c r="C55" s="1" t="s">
        <v>47</v>
      </c>
      <c r="D55" s="1"/>
      <c r="E55" s="1" t="s">
        <v>368</v>
      </c>
      <c r="F55" s="1"/>
      <c r="G55" s="1" t="s">
        <v>49</v>
      </c>
      <c r="H55" s="1" t="s">
        <v>93</v>
      </c>
      <c r="I55" s="1">
        <v>53282.79</v>
      </c>
      <c r="J55" s="1"/>
      <c r="K55" s="1"/>
      <c r="L55" s="1"/>
      <c r="M55" s="1" t="s">
        <v>369</v>
      </c>
      <c r="N55" s="1" t="s">
        <v>142</v>
      </c>
      <c r="O55" s="1" t="s">
        <v>143</v>
      </c>
      <c r="P55" s="2">
        <v>43825.5161689815</v>
      </c>
      <c r="Q55" s="1" t="s">
        <v>55</v>
      </c>
      <c r="R55" s="1"/>
      <c r="S55" s="1"/>
      <c r="T55" s="1">
        <v>4106902.0</v>
      </c>
      <c r="U55" s="1" t="s">
        <v>355</v>
      </c>
      <c r="V55" s="1" t="s">
        <v>176</v>
      </c>
      <c r="W55" s="1" t="s">
        <v>177</v>
      </c>
      <c r="X55" s="1"/>
      <c r="Y55" s="1"/>
      <c r="Z55" s="1" t="s">
        <v>147</v>
      </c>
      <c r="AA55" s="1" t="s">
        <v>366</v>
      </c>
      <c r="AB55" s="1" t="str">
        <f t="shared" si="4"/>
        <v>82222290000182</v>
      </c>
      <c r="AC55" s="1"/>
      <c r="AD55" s="1" t="s">
        <v>116</v>
      </c>
      <c r="AE55" s="1"/>
      <c r="AF55" s="1">
        <v>-49.256111</v>
      </c>
      <c r="AG55" s="1">
        <v>-25.388332</v>
      </c>
      <c r="AH55" s="1" t="s">
        <v>367</v>
      </c>
      <c r="AI55" s="1"/>
      <c r="AJ55" s="1" t="s">
        <v>358</v>
      </c>
      <c r="AK55" s="1"/>
      <c r="AL55" s="1"/>
      <c r="AM55" s="1" t="s">
        <v>65</v>
      </c>
      <c r="AN55" s="1" t="s">
        <v>359</v>
      </c>
      <c r="AO55" s="1"/>
      <c r="AP55" s="2">
        <v>43995.5163078704</v>
      </c>
      <c r="AQ55" s="1"/>
      <c r="AR55" s="1" t="s">
        <v>280</v>
      </c>
      <c r="AS55" s="1"/>
      <c r="AT55" s="2">
        <v>44269.931099537</v>
      </c>
    </row>
    <row r="56" ht="13.5" customHeight="1">
      <c r="A56" s="1">
        <v>2035659.0</v>
      </c>
      <c r="B56" s="1" t="s">
        <v>67</v>
      </c>
      <c r="C56" s="1" t="s">
        <v>68</v>
      </c>
      <c r="D56" s="1" t="s">
        <v>46</v>
      </c>
      <c r="E56" s="1" t="s">
        <v>370</v>
      </c>
      <c r="F56" s="1"/>
      <c r="G56" s="1" t="s">
        <v>70</v>
      </c>
      <c r="H56" s="1" t="s">
        <v>93</v>
      </c>
      <c r="I56" s="1">
        <v>6133.8</v>
      </c>
      <c r="J56" s="1"/>
      <c r="K56" s="1"/>
      <c r="L56" s="1" t="s">
        <v>371</v>
      </c>
      <c r="M56" s="1" t="s">
        <v>372</v>
      </c>
      <c r="N56" s="1" t="s">
        <v>142</v>
      </c>
      <c r="O56" s="1" t="s">
        <v>143</v>
      </c>
      <c r="P56" s="2">
        <v>43825.5</v>
      </c>
      <c r="Q56" s="1" t="s">
        <v>373</v>
      </c>
      <c r="R56" s="3">
        <v>43825.0</v>
      </c>
      <c r="S56" s="1"/>
      <c r="T56" s="1">
        <v>5218805.0</v>
      </c>
      <c r="U56" s="1" t="s">
        <v>374</v>
      </c>
      <c r="V56" s="1" t="s">
        <v>375</v>
      </c>
      <c r="W56" s="1" t="s">
        <v>177</v>
      </c>
      <c r="X56" s="1"/>
      <c r="Y56" s="1" t="str">
        <f>"02010000140202046"</f>
        <v>02010000140202046</v>
      </c>
      <c r="Z56" s="1" t="s">
        <v>147</v>
      </c>
      <c r="AA56" s="1" t="s">
        <v>376</v>
      </c>
      <c r="AB56" s="1" t="str">
        <f>"***250442**"</f>
        <v>***250442**</v>
      </c>
      <c r="AC56" s="1"/>
      <c r="AD56" s="1" t="s">
        <v>116</v>
      </c>
      <c r="AE56" s="1"/>
      <c r="AF56" s="1">
        <v>-50.961944</v>
      </c>
      <c r="AG56" s="1">
        <v>-17.824722</v>
      </c>
      <c r="AH56" s="1" t="s">
        <v>377</v>
      </c>
      <c r="AI56" s="1"/>
      <c r="AJ56" s="1" t="s">
        <v>371</v>
      </c>
      <c r="AK56" s="1"/>
      <c r="AL56" s="1" t="s">
        <v>118</v>
      </c>
      <c r="AM56" s="1" t="s">
        <v>65</v>
      </c>
      <c r="AN56" s="1" t="s">
        <v>378</v>
      </c>
      <c r="AO56" s="2">
        <v>43913.0</v>
      </c>
      <c r="AP56" s="2">
        <v>44063.4449074074</v>
      </c>
      <c r="AQ56" s="1" t="s">
        <v>80</v>
      </c>
      <c r="AR56" s="1" t="s">
        <v>379</v>
      </c>
      <c r="AS56" s="1" t="s">
        <v>380</v>
      </c>
      <c r="AT56" s="2">
        <v>44269.931099537</v>
      </c>
    </row>
    <row r="57" ht="13.5" customHeight="1">
      <c r="A57" s="1"/>
      <c r="B57" s="1" t="s">
        <v>46</v>
      </c>
      <c r="C57" s="1" t="s">
        <v>47</v>
      </c>
      <c r="D57" s="1"/>
      <c r="E57" s="1" t="s">
        <v>381</v>
      </c>
      <c r="F57" s="1"/>
      <c r="G57" s="1" t="s">
        <v>49</v>
      </c>
      <c r="H57" s="1" t="s">
        <v>93</v>
      </c>
      <c r="I57" s="1">
        <v>67216.71</v>
      </c>
      <c r="J57" s="1"/>
      <c r="K57" s="1"/>
      <c r="L57" s="1"/>
      <c r="M57" s="1" t="s">
        <v>382</v>
      </c>
      <c r="N57" s="1" t="s">
        <v>142</v>
      </c>
      <c r="O57" s="1" t="s">
        <v>143</v>
      </c>
      <c r="P57" s="2">
        <v>43825.4446759259</v>
      </c>
      <c r="Q57" s="1" t="s">
        <v>55</v>
      </c>
      <c r="R57" s="1"/>
      <c r="S57" s="1"/>
      <c r="T57" s="1">
        <v>4106902.0</v>
      </c>
      <c r="U57" s="1" t="s">
        <v>355</v>
      </c>
      <c r="V57" s="1" t="s">
        <v>176</v>
      </c>
      <c r="W57" s="1" t="s">
        <v>177</v>
      </c>
      <c r="X57" s="1"/>
      <c r="Y57" s="1"/>
      <c r="Z57" s="1" t="s">
        <v>147</v>
      </c>
      <c r="AA57" s="1" t="s">
        <v>383</v>
      </c>
      <c r="AB57" s="1" t="str">
        <f>"07027349000166"</f>
        <v>07027349000166</v>
      </c>
      <c r="AC57" s="1"/>
      <c r="AD57" s="1" t="s">
        <v>149</v>
      </c>
      <c r="AE57" s="1"/>
      <c r="AF57" s="1">
        <v>-49.256111</v>
      </c>
      <c r="AG57" s="1">
        <v>-25.388332</v>
      </c>
      <c r="AH57" s="1" t="s">
        <v>384</v>
      </c>
      <c r="AI57" s="1"/>
      <c r="AJ57" s="1" t="s">
        <v>358</v>
      </c>
      <c r="AK57" s="1"/>
      <c r="AL57" s="1"/>
      <c r="AM57" s="1" t="s">
        <v>65</v>
      </c>
      <c r="AN57" s="1" t="s">
        <v>359</v>
      </c>
      <c r="AO57" s="1"/>
      <c r="AP57" s="2">
        <v>43995.5165393519</v>
      </c>
      <c r="AQ57" s="1"/>
      <c r="AR57" s="1" t="s">
        <v>280</v>
      </c>
      <c r="AS57" s="1"/>
      <c r="AT57" s="2">
        <v>44269.931099537</v>
      </c>
    </row>
    <row r="58" ht="13.5" customHeight="1">
      <c r="A58" s="1">
        <v>2034818.0</v>
      </c>
      <c r="B58" s="1" t="s">
        <v>67</v>
      </c>
      <c r="C58" s="1" t="s">
        <v>68</v>
      </c>
      <c r="D58" s="1" t="s">
        <v>46</v>
      </c>
      <c r="E58" s="1" t="s">
        <v>385</v>
      </c>
      <c r="F58" s="1"/>
      <c r="G58" s="1" t="s">
        <v>70</v>
      </c>
      <c r="H58" s="1" t="s">
        <v>93</v>
      </c>
      <c r="I58" s="1">
        <v>5000.0</v>
      </c>
      <c r="J58" s="1"/>
      <c r="K58" s="1"/>
      <c r="L58" s="1" t="s">
        <v>386</v>
      </c>
      <c r="M58" s="1" t="s">
        <v>387</v>
      </c>
      <c r="N58" s="1" t="s">
        <v>142</v>
      </c>
      <c r="O58" s="1" t="s">
        <v>143</v>
      </c>
      <c r="P58" s="2">
        <v>43825.4166666667</v>
      </c>
      <c r="Q58" s="1" t="s">
        <v>74</v>
      </c>
      <c r="R58" s="3">
        <v>43824.0</v>
      </c>
      <c r="S58" s="1"/>
      <c r="T58" s="1">
        <v>1502707.0</v>
      </c>
      <c r="U58" s="1" t="s">
        <v>388</v>
      </c>
      <c r="V58" s="1" t="s">
        <v>193</v>
      </c>
      <c r="W58" s="1" t="s">
        <v>177</v>
      </c>
      <c r="X58" s="1"/>
      <c r="Y58" s="1" t="str">
        <f>"02029001547201958"</f>
        <v>02029001547201958</v>
      </c>
      <c r="Z58" s="1" t="s">
        <v>147</v>
      </c>
      <c r="AA58" s="1" t="s">
        <v>389</v>
      </c>
      <c r="AB58" s="1" t="str">
        <f>"***568802**"</f>
        <v>***568802**</v>
      </c>
      <c r="AC58" s="1"/>
      <c r="AD58" s="1"/>
      <c r="AE58" s="1"/>
      <c r="AF58" s="1">
        <v>-49.361664</v>
      </c>
      <c r="AG58" s="1">
        <v>-8.439167</v>
      </c>
      <c r="AH58" s="1" t="s">
        <v>390</v>
      </c>
      <c r="AI58" s="1"/>
      <c r="AJ58" s="1" t="s">
        <v>386</v>
      </c>
      <c r="AK58" s="1"/>
      <c r="AL58" s="1" t="s">
        <v>79</v>
      </c>
      <c r="AM58" s="1" t="s">
        <v>65</v>
      </c>
      <c r="AN58" s="1" t="s">
        <v>391</v>
      </c>
      <c r="AO58" s="2">
        <v>43892.0</v>
      </c>
      <c r="AP58" s="2">
        <v>43892.4297453704</v>
      </c>
      <c r="AQ58" s="1" t="s">
        <v>80</v>
      </c>
      <c r="AR58" s="1" t="s">
        <v>392</v>
      </c>
      <c r="AS58" s="1"/>
      <c r="AT58" s="2">
        <v>44269.931099537</v>
      </c>
    </row>
    <row r="59" ht="13.5" customHeight="1">
      <c r="A59" s="1"/>
      <c r="B59" s="1" t="s">
        <v>46</v>
      </c>
      <c r="C59" s="1" t="s">
        <v>47</v>
      </c>
      <c r="D59" s="1"/>
      <c r="E59" s="1" t="s">
        <v>393</v>
      </c>
      <c r="F59" s="1"/>
      <c r="G59" s="1" t="s">
        <v>49</v>
      </c>
      <c r="H59" s="1" t="s">
        <v>50</v>
      </c>
      <c r="I59" s="1">
        <v>101500.0</v>
      </c>
      <c r="J59" s="1"/>
      <c r="K59" s="1" t="s">
        <v>140</v>
      </c>
      <c r="L59" s="1"/>
      <c r="M59" s="1" t="s">
        <v>394</v>
      </c>
      <c r="N59" s="1" t="s">
        <v>123</v>
      </c>
      <c r="O59" s="1" t="s">
        <v>73</v>
      </c>
      <c r="P59" s="2">
        <v>43825.4108912037</v>
      </c>
      <c r="Q59" s="1" t="s">
        <v>55</v>
      </c>
      <c r="R59" s="1"/>
      <c r="S59" s="1"/>
      <c r="T59" s="1">
        <v>4106902.0</v>
      </c>
      <c r="U59" s="1" t="s">
        <v>355</v>
      </c>
      <c r="V59" s="1" t="s">
        <v>176</v>
      </c>
      <c r="W59" s="1" t="s">
        <v>59</v>
      </c>
      <c r="X59" s="1"/>
      <c r="Y59" s="1"/>
      <c r="Z59" s="1" t="s">
        <v>76</v>
      </c>
      <c r="AA59" s="1" t="s">
        <v>383</v>
      </c>
      <c r="AB59" s="1" t="str">
        <f t="shared" ref="AB59:AB60" si="5">"07027349000166"</f>
        <v>07027349000166</v>
      </c>
      <c r="AC59" s="1"/>
      <c r="AD59" s="1" t="s">
        <v>62</v>
      </c>
      <c r="AE59" s="1"/>
      <c r="AF59" s="1">
        <v>-49.256111</v>
      </c>
      <c r="AG59" s="1">
        <v>-25.388332</v>
      </c>
      <c r="AH59" s="1" t="s">
        <v>395</v>
      </c>
      <c r="AI59" s="1"/>
      <c r="AJ59" s="1" t="s">
        <v>358</v>
      </c>
      <c r="AK59" s="1"/>
      <c r="AL59" s="1"/>
      <c r="AM59" s="1" t="s">
        <v>65</v>
      </c>
      <c r="AN59" s="1" t="s">
        <v>359</v>
      </c>
      <c r="AO59" s="1"/>
      <c r="AP59" s="2">
        <v>43995.5166319445</v>
      </c>
      <c r="AQ59" s="1"/>
      <c r="AR59" s="1" t="s">
        <v>396</v>
      </c>
      <c r="AS59" s="1"/>
      <c r="AT59" s="2">
        <v>44269.931099537</v>
      </c>
    </row>
    <row r="60" ht="13.5" customHeight="1">
      <c r="A60" s="1"/>
      <c r="B60" s="1" t="s">
        <v>46</v>
      </c>
      <c r="C60" s="1" t="s">
        <v>47</v>
      </c>
      <c r="D60" s="1"/>
      <c r="E60" s="1" t="s">
        <v>397</v>
      </c>
      <c r="F60" s="1"/>
      <c r="G60" s="1" t="s">
        <v>49</v>
      </c>
      <c r="H60" s="1" t="s">
        <v>93</v>
      </c>
      <c r="I60" s="1">
        <v>9268.08</v>
      </c>
      <c r="J60" s="1"/>
      <c r="K60" s="1"/>
      <c r="L60" s="1"/>
      <c r="M60" s="1" t="s">
        <v>398</v>
      </c>
      <c r="N60" s="1" t="s">
        <v>142</v>
      </c>
      <c r="O60" s="1" t="s">
        <v>143</v>
      </c>
      <c r="P60" s="2">
        <v>43825.3862268518</v>
      </c>
      <c r="Q60" s="1" t="s">
        <v>55</v>
      </c>
      <c r="R60" s="1"/>
      <c r="S60" s="1"/>
      <c r="T60" s="1">
        <v>4106902.0</v>
      </c>
      <c r="U60" s="1" t="s">
        <v>355</v>
      </c>
      <c r="V60" s="1" t="s">
        <v>176</v>
      </c>
      <c r="W60" s="1" t="s">
        <v>59</v>
      </c>
      <c r="X60" s="1"/>
      <c r="Y60" s="1"/>
      <c r="Z60" s="1" t="s">
        <v>147</v>
      </c>
      <c r="AA60" s="1" t="s">
        <v>383</v>
      </c>
      <c r="AB60" s="1" t="str">
        <f t="shared" si="5"/>
        <v>07027349000166</v>
      </c>
      <c r="AC60" s="1"/>
      <c r="AD60" s="1" t="s">
        <v>149</v>
      </c>
      <c r="AE60" s="1"/>
      <c r="AF60" s="1">
        <v>-49.256111</v>
      </c>
      <c r="AG60" s="1">
        <v>-25.388332</v>
      </c>
      <c r="AH60" s="1" t="s">
        <v>395</v>
      </c>
      <c r="AI60" s="1"/>
      <c r="AJ60" s="1" t="s">
        <v>358</v>
      </c>
      <c r="AK60" s="1"/>
      <c r="AL60" s="1"/>
      <c r="AM60" s="1" t="s">
        <v>65</v>
      </c>
      <c r="AN60" s="1" t="s">
        <v>359</v>
      </c>
      <c r="AO60" s="1"/>
      <c r="AP60" s="2">
        <v>43995.5167361111</v>
      </c>
      <c r="AQ60" s="1"/>
      <c r="AR60" s="1" t="s">
        <v>399</v>
      </c>
      <c r="AS60" s="1"/>
      <c r="AT60" s="2">
        <v>44269.931099537</v>
      </c>
    </row>
    <row r="61" ht="13.5" customHeight="1">
      <c r="A61" s="1"/>
      <c r="B61" s="1" t="s">
        <v>46</v>
      </c>
      <c r="C61" s="1" t="s">
        <v>47</v>
      </c>
      <c r="D61" s="1"/>
      <c r="E61" s="1" t="s">
        <v>400</v>
      </c>
      <c r="F61" s="1"/>
      <c r="G61" s="1" t="s">
        <v>49</v>
      </c>
      <c r="H61" s="1" t="s">
        <v>50</v>
      </c>
      <c r="I61" s="1">
        <v>14300.0</v>
      </c>
      <c r="J61" s="1"/>
      <c r="K61" s="1" t="s">
        <v>140</v>
      </c>
      <c r="L61" s="1"/>
      <c r="M61" s="1" t="s">
        <v>401</v>
      </c>
      <c r="N61" s="1" t="s">
        <v>53</v>
      </c>
      <c r="O61" s="1" t="s">
        <v>54</v>
      </c>
      <c r="P61" s="2">
        <v>43825.3692939815</v>
      </c>
      <c r="Q61" s="1" t="s">
        <v>373</v>
      </c>
      <c r="R61" s="1"/>
      <c r="S61" s="1"/>
      <c r="T61" s="1">
        <v>3200607.0</v>
      </c>
      <c r="U61" s="1" t="s">
        <v>402</v>
      </c>
      <c r="V61" s="1" t="s">
        <v>403</v>
      </c>
      <c r="W61" s="1" t="s">
        <v>288</v>
      </c>
      <c r="X61" s="1"/>
      <c r="Y61" s="1"/>
      <c r="Z61" s="1" t="s">
        <v>60</v>
      </c>
      <c r="AA61" s="1" t="s">
        <v>404</v>
      </c>
      <c r="AB61" s="1" t="str">
        <f>"***577057**"</f>
        <v>***577057**</v>
      </c>
      <c r="AC61" s="1"/>
      <c r="AD61" s="1" t="s">
        <v>149</v>
      </c>
      <c r="AE61" s="1"/>
      <c r="AF61" s="1">
        <v>-40.060555</v>
      </c>
      <c r="AG61" s="1">
        <v>-19.848057</v>
      </c>
      <c r="AH61" s="1" t="s">
        <v>405</v>
      </c>
      <c r="AI61" s="1"/>
      <c r="AJ61" s="1" t="s">
        <v>406</v>
      </c>
      <c r="AK61" s="1"/>
      <c r="AL61" s="1"/>
      <c r="AM61" s="1" t="s">
        <v>65</v>
      </c>
      <c r="AN61" s="1" t="s">
        <v>407</v>
      </c>
      <c r="AO61" s="1"/>
      <c r="AP61" s="2">
        <v>43825.5537037037</v>
      </c>
      <c r="AQ61" s="1"/>
      <c r="AR61" s="1" t="s">
        <v>408</v>
      </c>
      <c r="AS61" s="1" t="s">
        <v>409</v>
      </c>
      <c r="AT61" s="2">
        <v>44269.931099537</v>
      </c>
    </row>
    <row r="62" ht="13.5" customHeight="1">
      <c r="A62" s="1">
        <v>2035570.0</v>
      </c>
      <c r="B62" s="1" t="s">
        <v>67</v>
      </c>
      <c r="C62" s="1" t="s">
        <v>68</v>
      </c>
      <c r="D62" s="1" t="s">
        <v>46</v>
      </c>
      <c r="E62" s="1" t="s">
        <v>410</v>
      </c>
      <c r="F62" s="1"/>
      <c r="G62" s="1" t="s">
        <v>70</v>
      </c>
      <c r="H62" s="1" t="s">
        <v>93</v>
      </c>
      <c r="I62" s="1">
        <v>120000.0</v>
      </c>
      <c r="J62" s="1"/>
      <c r="K62" s="1"/>
      <c r="L62" s="1" t="s">
        <v>358</v>
      </c>
      <c r="M62" s="1" t="s">
        <v>394</v>
      </c>
      <c r="N62" s="1" t="s">
        <v>72</v>
      </c>
      <c r="O62" s="1" t="s">
        <v>73</v>
      </c>
      <c r="P62" s="2">
        <v>43825.3333333333</v>
      </c>
      <c r="Q62" s="1" t="s">
        <v>373</v>
      </c>
      <c r="R62" s="3">
        <v>43825.0</v>
      </c>
      <c r="S62" s="1"/>
      <c r="T62" s="1">
        <v>4107652.0</v>
      </c>
      <c r="U62" s="1" t="s">
        <v>411</v>
      </c>
      <c r="V62" s="1" t="s">
        <v>176</v>
      </c>
      <c r="W62" s="1" t="s">
        <v>177</v>
      </c>
      <c r="X62" s="1"/>
      <c r="Y62" s="1" t="str">
        <f>"02017004785201954"</f>
        <v>02017004785201954</v>
      </c>
      <c r="Z62" s="1" t="s">
        <v>76</v>
      </c>
      <c r="AA62" s="1" t="s">
        <v>412</v>
      </c>
      <c r="AB62" s="1" t="str">
        <f>"82353194000173"</f>
        <v>82353194000173</v>
      </c>
      <c r="AC62" s="1"/>
      <c r="AD62" s="1"/>
      <c r="AE62" s="1"/>
      <c r="AF62" s="1">
        <v>-49.318054</v>
      </c>
      <c r="AG62" s="1">
        <v>-25.670277</v>
      </c>
      <c r="AH62" s="1" t="s">
        <v>413</v>
      </c>
      <c r="AI62" s="1"/>
      <c r="AJ62" s="1" t="s">
        <v>358</v>
      </c>
      <c r="AK62" s="1"/>
      <c r="AL62" s="1" t="s">
        <v>79</v>
      </c>
      <c r="AM62" s="1" t="s">
        <v>65</v>
      </c>
      <c r="AN62" s="1" t="s">
        <v>359</v>
      </c>
      <c r="AO62" s="2">
        <v>43909.0</v>
      </c>
      <c r="AP62" s="2">
        <v>43909.4531365741</v>
      </c>
      <c r="AQ62" s="1" t="s">
        <v>80</v>
      </c>
      <c r="AR62" s="1" t="s">
        <v>81</v>
      </c>
      <c r="AS62" s="1"/>
      <c r="AT62" s="2">
        <v>44269.931099537</v>
      </c>
    </row>
    <row r="63" ht="13.5" customHeight="1">
      <c r="A63" s="1">
        <v>2038745.0</v>
      </c>
      <c r="B63" s="1" t="s">
        <v>67</v>
      </c>
      <c r="C63" s="1" t="s">
        <v>68</v>
      </c>
      <c r="D63" s="1" t="s">
        <v>46</v>
      </c>
      <c r="E63" s="1" t="s">
        <v>414</v>
      </c>
      <c r="F63" s="1"/>
      <c r="G63" s="1" t="s">
        <v>70</v>
      </c>
      <c r="H63" s="1" t="s">
        <v>93</v>
      </c>
      <c r="I63" s="1">
        <v>10000.0</v>
      </c>
      <c r="J63" s="1"/>
      <c r="K63" s="1"/>
      <c r="L63" s="1" t="s">
        <v>415</v>
      </c>
      <c r="M63" s="1" t="s">
        <v>416</v>
      </c>
      <c r="N63" s="1" t="s">
        <v>142</v>
      </c>
      <c r="O63" s="1" t="s">
        <v>143</v>
      </c>
      <c r="P63" s="2">
        <v>43825.3333333333</v>
      </c>
      <c r="Q63" s="1" t="s">
        <v>373</v>
      </c>
      <c r="R63" s="3">
        <v>43825.0</v>
      </c>
      <c r="S63" s="1"/>
      <c r="T63" s="1">
        <v>1400456.0</v>
      </c>
      <c r="U63" s="1" t="s">
        <v>417</v>
      </c>
      <c r="V63" s="1" t="s">
        <v>186</v>
      </c>
      <c r="W63" s="1" t="s">
        <v>177</v>
      </c>
      <c r="X63" s="1"/>
      <c r="Y63" s="1" t="str">
        <f>"02025001009202037"</f>
        <v>02025001009202037</v>
      </c>
      <c r="Z63" s="1" t="s">
        <v>147</v>
      </c>
      <c r="AA63" s="1" t="s">
        <v>418</v>
      </c>
      <c r="AB63" s="1" t="str">
        <f>"***004702**"</f>
        <v>***004702**</v>
      </c>
      <c r="AC63" s="1"/>
      <c r="AD63" s="1"/>
      <c r="AE63" s="1"/>
      <c r="AF63" s="1">
        <v>-61.121944</v>
      </c>
      <c r="AG63" s="1">
        <v>4.482222</v>
      </c>
      <c r="AH63" s="1" t="s">
        <v>419</v>
      </c>
      <c r="AI63" s="1"/>
      <c r="AJ63" s="1" t="s">
        <v>415</v>
      </c>
      <c r="AK63" s="1"/>
      <c r="AL63" s="1" t="s">
        <v>79</v>
      </c>
      <c r="AM63" s="1" t="s">
        <v>65</v>
      </c>
      <c r="AN63" s="1" t="s">
        <v>420</v>
      </c>
      <c r="AO63" s="2">
        <v>44046.0</v>
      </c>
      <c r="AP63" s="2">
        <v>44046.5022222222</v>
      </c>
      <c r="AQ63" s="1" t="s">
        <v>80</v>
      </c>
      <c r="AR63" s="1" t="s">
        <v>421</v>
      </c>
      <c r="AS63" s="1"/>
      <c r="AT63" s="2">
        <v>44269.931099537</v>
      </c>
    </row>
    <row r="64" ht="13.5" customHeight="1">
      <c r="A64" s="1">
        <v>2042682.0</v>
      </c>
      <c r="B64" s="1" t="s">
        <v>67</v>
      </c>
      <c r="C64" s="1" t="s">
        <v>68</v>
      </c>
      <c r="D64" s="1" t="s">
        <v>46</v>
      </c>
      <c r="E64" s="1" t="s">
        <v>422</v>
      </c>
      <c r="F64" s="1"/>
      <c r="G64" s="1" t="s">
        <v>70</v>
      </c>
      <c r="H64" s="1" t="s">
        <v>93</v>
      </c>
      <c r="I64" s="1">
        <v>3218.1</v>
      </c>
      <c r="J64" s="1"/>
      <c r="K64" s="1"/>
      <c r="L64" s="1" t="s">
        <v>358</v>
      </c>
      <c r="M64" s="1" t="s">
        <v>423</v>
      </c>
      <c r="N64" s="1" t="s">
        <v>142</v>
      </c>
      <c r="O64" s="1" t="s">
        <v>143</v>
      </c>
      <c r="P64" s="2">
        <v>43823.5416666667</v>
      </c>
      <c r="Q64" s="1" t="s">
        <v>373</v>
      </c>
      <c r="R64" s="3">
        <v>43823.0</v>
      </c>
      <c r="S64" s="1"/>
      <c r="T64" s="1">
        <v>4107652.0</v>
      </c>
      <c r="U64" s="1" t="s">
        <v>411</v>
      </c>
      <c r="V64" s="1" t="s">
        <v>176</v>
      </c>
      <c r="W64" s="1" t="s">
        <v>177</v>
      </c>
      <c r="X64" s="1"/>
      <c r="Y64" s="1" t="str">
        <f>"02017004782201911"</f>
        <v>02017004782201911</v>
      </c>
      <c r="Z64" s="1" t="s">
        <v>147</v>
      </c>
      <c r="AA64" s="1" t="s">
        <v>424</v>
      </c>
      <c r="AB64" s="1" t="str">
        <f>"35078479000163"</f>
        <v>35078479000163</v>
      </c>
      <c r="AC64" s="1"/>
      <c r="AD64" s="1"/>
      <c r="AE64" s="1"/>
      <c r="AF64" s="1">
        <v>-49.318054</v>
      </c>
      <c r="AG64" s="1">
        <v>-25.670277</v>
      </c>
      <c r="AH64" s="1" t="s">
        <v>413</v>
      </c>
      <c r="AI64" s="1"/>
      <c r="AJ64" s="1" t="s">
        <v>358</v>
      </c>
      <c r="AK64" s="1"/>
      <c r="AL64" s="1" t="s">
        <v>79</v>
      </c>
      <c r="AM64" s="1" t="s">
        <v>65</v>
      </c>
      <c r="AN64" s="1" t="s">
        <v>359</v>
      </c>
      <c r="AO64" s="2">
        <v>44215.0</v>
      </c>
      <c r="AP64" s="2">
        <v>44215.5796296296</v>
      </c>
      <c r="AQ64" s="1" t="s">
        <v>80</v>
      </c>
      <c r="AR64" s="1" t="s">
        <v>181</v>
      </c>
      <c r="AS64" s="1"/>
      <c r="AT64" s="2">
        <v>44269.931099537</v>
      </c>
    </row>
    <row r="65" ht="13.5" customHeight="1">
      <c r="A65" s="1"/>
      <c r="B65" s="1" t="s">
        <v>46</v>
      </c>
      <c r="C65" s="1" t="s">
        <v>47</v>
      </c>
      <c r="D65" s="1"/>
      <c r="E65" s="1" t="s">
        <v>425</v>
      </c>
      <c r="F65" s="1"/>
      <c r="G65" s="1" t="s">
        <v>49</v>
      </c>
      <c r="H65" s="1" t="s">
        <v>93</v>
      </c>
      <c r="I65" s="1">
        <v>52728.0</v>
      </c>
      <c r="J65" s="1"/>
      <c r="K65" s="1"/>
      <c r="L65" s="1"/>
      <c r="M65" s="1" t="s">
        <v>426</v>
      </c>
      <c r="N65" s="1" t="s">
        <v>142</v>
      </c>
      <c r="O65" s="1" t="s">
        <v>143</v>
      </c>
      <c r="P65" s="2">
        <v>43823.5412037037</v>
      </c>
      <c r="Q65" s="1" t="s">
        <v>373</v>
      </c>
      <c r="R65" s="1"/>
      <c r="S65" s="1"/>
      <c r="T65" s="1">
        <v>4107652.0</v>
      </c>
      <c r="U65" s="1" t="s">
        <v>411</v>
      </c>
      <c r="V65" s="1" t="s">
        <v>176</v>
      </c>
      <c r="W65" s="1" t="s">
        <v>177</v>
      </c>
      <c r="X65" s="1"/>
      <c r="Y65" s="1"/>
      <c r="Z65" s="1" t="s">
        <v>147</v>
      </c>
      <c r="AA65" s="1" t="s">
        <v>412</v>
      </c>
      <c r="AB65" s="1" t="str">
        <f>"82353194000173"</f>
        <v>82353194000173</v>
      </c>
      <c r="AC65" s="1"/>
      <c r="AD65" s="1" t="s">
        <v>149</v>
      </c>
      <c r="AE65" s="1"/>
      <c r="AF65" s="1">
        <v>-49.318054</v>
      </c>
      <c r="AG65" s="1">
        <v>-25.670277</v>
      </c>
      <c r="AH65" s="1" t="s">
        <v>413</v>
      </c>
      <c r="AI65" s="1"/>
      <c r="AJ65" s="1" t="s">
        <v>358</v>
      </c>
      <c r="AK65" s="1"/>
      <c r="AL65" s="1"/>
      <c r="AM65" s="1" t="s">
        <v>65</v>
      </c>
      <c r="AN65" s="1" t="s">
        <v>359</v>
      </c>
      <c r="AO65" s="1"/>
      <c r="AP65" s="2">
        <v>43995.5169560185</v>
      </c>
      <c r="AQ65" s="1"/>
      <c r="AR65" s="1" t="s">
        <v>280</v>
      </c>
      <c r="AS65" s="1"/>
      <c r="AT65" s="2">
        <v>44269.931099537</v>
      </c>
    </row>
    <row r="66" ht="13.5" customHeight="1">
      <c r="A66" s="1"/>
      <c r="B66" s="1" t="s">
        <v>46</v>
      </c>
      <c r="C66" s="1" t="s">
        <v>47</v>
      </c>
      <c r="D66" s="1"/>
      <c r="E66" s="1" t="s">
        <v>427</v>
      </c>
      <c r="F66" s="1"/>
      <c r="G66" s="1" t="s">
        <v>49</v>
      </c>
      <c r="H66" s="1" t="s">
        <v>93</v>
      </c>
      <c r="I66" s="1">
        <v>5000.0</v>
      </c>
      <c r="J66" s="1"/>
      <c r="K66" s="1"/>
      <c r="L66" s="1"/>
      <c r="M66" s="1" t="s">
        <v>428</v>
      </c>
      <c r="N66" s="1" t="s">
        <v>142</v>
      </c>
      <c r="O66" s="1" t="s">
        <v>143</v>
      </c>
      <c r="P66" s="2">
        <v>43822.7691666667</v>
      </c>
      <c r="Q66" s="1" t="s">
        <v>74</v>
      </c>
      <c r="R66" s="3">
        <v>43797.0</v>
      </c>
      <c r="S66" s="1"/>
      <c r="T66" s="1">
        <v>5206206.0</v>
      </c>
      <c r="U66" s="1" t="s">
        <v>429</v>
      </c>
      <c r="V66" s="1" t="s">
        <v>375</v>
      </c>
      <c r="W66" s="1" t="s">
        <v>127</v>
      </c>
      <c r="X66" s="1"/>
      <c r="Y66" s="1"/>
      <c r="Z66" s="1" t="s">
        <v>147</v>
      </c>
      <c r="AA66" s="1" t="s">
        <v>430</v>
      </c>
      <c r="AB66" s="1" t="str">
        <f>"***789338**"</f>
        <v>***789338**</v>
      </c>
      <c r="AC66" s="1"/>
      <c r="AD66" s="1" t="s">
        <v>149</v>
      </c>
      <c r="AE66" s="1"/>
      <c r="AF66" s="1">
        <v>-47.401943</v>
      </c>
      <c r="AG66" s="1">
        <v>-17.137222</v>
      </c>
      <c r="AH66" s="1" t="s">
        <v>431</v>
      </c>
      <c r="AI66" s="1"/>
      <c r="AJ66" s="1" t="s">
        <v>244</v>
      </c>
      <c r="AK66" s="1"/>
      <c r="AL66" s="1"/>
      <c r="AM66" s="1" t="s">
        <v>65</v>
      </c>
      <c r="AN66" s="1" t="s">
        <v>432</v>
      </c>
      <c r="AO66" s="1"/>
      <c r="AP66" s="2">
        <v>44021.8249537037</v>
      </c>
      <c r="AQ66" s="1"/>
      <c r="AR66" s="1" t="s">
        <v>433</v>
      </c>
      <c r="AS66" s="1" t="s">
        <v>434</v>
      </c>
      <c r="AT66" s="2">
        <v>44269.931099537</v>
      </c>
    </row>
    <row r="67" ht="13.5" customHeight="1">
      <c r="A67" s="1"/>
      <c r="B67" s="1" t="s">
        <v>46</v>
      </c>
      <c r="C67" s="1" t="s">
        <v>47</v>
      </c>
      <c r="D67" s="1"/>
      <c r="E67" s="1" t="s">
        <v>435</v>
      </c>
      <c r="F67" s="1"/>
      <c r="G67" s="1" t="s">
        <v>49</v>
      </c>
      <c r="H67" s="1" t="s">
        <v>93</v>
      </c>
      <c r="I67" s="1">
        <v>5000.0</v>
      </c>
      <c r="J67" s="1"/>
      <c r="K67" s="1"/>
      <c r="L67" s="1"/>
      <c r="M67" s="1" t="s">
        <v>436</v>
      </c>
      <c r="N67" s="1" t="s">
        <v>142</v>
      </c>
      <c r="O67" s="1" t="s">
        <v>143</v>
      </c>
      <c r="P67" s="2">
        <v>43822.746712963</v>
      </c>
      <c r="Q67" s="1" t="s">
        <v>74</v>
      </c>
      <c r="R67" s="3">
        <v>43797.0</v>
      </c>
      <c r="S67" s="1"/>
      <c r="T67" s="1">
        <v>5206206.0</v>
      </c>
      <c r="U67" s="1" t="s">
        <v>429</v>
      </c>
      <c r="V67" s="1" t="s">
        <v>375</v>
      </c>
      <c r="W67" s="1" t="s">
        <v>127</v>
      </c>
      <c r="X67" s="1"/>
      <c r="Y67" s="1"/>
      <c r="Z67" s="1" t="s">
        <v>147</v>
      </c>
      <c r="AA67" s="1" t="s">
        <v>437</v>
      </c>
      <c r="AB67" s="1" t="str">
        <f>"***479491**"</f>
        <v>***479491**</v>
      </c>
      <c r="AC67" s="1"/>
      <c r="AD67" s="1" t="s">
        <v>149</v>
      </c>
      <c r="AE67" s="1"/>
      <c r="AF67" s="1">
        <v>-47.2925</v>
      </c>
      <c r="AG67" s="1">
        <v>-17.171389</v>
      </c>
      <c r="AH67" s="1" t="s">
        <v>438</v>
      </c>
      <c r="AI67" s="1"/>
      <c r="AJ67" s="1" t="s">
        <v>244</v>
      </c>
      <c r="AK67" s="1"/>
      <c r="AL67" s="1"/>
      <c r="AM67" s="1" t="s">
        <v>65</v>
      </c>
      <c r="AN67" s="1" t="s">
        <v>432</v>
      </c>
      <c r="AO67" s="1"/>
      <c r="AP67" s="2">
        <v>44021.8251157407</v>
      </c>
      <c r="AQ67" s="1"/>
      <c r="AR67" s="1" t="s">
        <v>433</v>
      </c>
      <c r="AS67" s="1" t="s">
        <v>434</v>
      </c>
      <c r="AT67" s="2">
        <v>44269.931099537</v>
      </c>
    </row>
    <row r="68" ht="13.5" customHeight="1">
      <c r="A68" s="1">
        <v>2038103.0</v>
      </c>
      <c r="B68" s="1" t="s">
        <v>67</v>
      </c>
      <c r="C68" s="1" t="s">
        <v>68</v>
      </c>
      <c r="D68" s="1" t="s">
        <v>46</v>
      </c>
      <c r="E68" s="1" t="s">
        <v>439</v>
      </c>
      <c r="F68" s="1"/>
      <c r="G68" s="1" t="s">
        <v>70</v>
      </c>
      <c r="H68" s="1" t="s">
        <v>93</v>
      </c>
      <c r="I68" s="1">
        <v>5000.0</v>
      </c>
      <c r="J68" s="1"/>
      <c r="K68" s="1"/>
      <c r="L68" s="1" t="s">
        <v>244</v>
      </c>
      <c r="M68" s="1" t="s">
        <v>440</v>
      </c>
      <c r="N68" s="1" t="s">
        <v>142</v>
      </c>
      <c r="O68" s="1" t="s">
        <v>143</v>
      </c>
      <c r="P68" s="2">
        <v>43822.6666666667</v>
      </c>
      <c r="Q68" s="1" t="s">
        <v>74</v>
      </c>
      <c r="R68" s="3">
        <v>43796.0</v>
      </c>
      <c r="S68" s="1"/>
      <c r="T68" s="1">
        <v>5206206.0</v>
      </c>
      <c r="U68" s="1" t="s">
        <v>429</v>
      </c>
      <c r="V68" s="1" t="s">
        <v>375</v>
      </c>
      <c r="W68" s="1" t="s">
        <v>127</v>
      </c>
      <c r="X68" s="1"/>
      <c r="Y68" s="1" t="str">
        <f>"02553000047202002"</f>
        <v>02553000047202002</v>
      </c>
      <c r="Z68" s="1" t="s">
        <v>147</v>
      </c>
      <c r="AA68" s="1" t="s">
        <v>441</v>
      </c>
      <c r="AB68" s="1" t="str">
        <f>"***125196**"</f>
        <v>***125196**</v>
      </c>
      <c r="AC68" s="1"/>
      <c r="AD68" s="1" t="s">
        <v>116</v>
      </c>
      <c r="AE68" s="1"/>
      <c r="AF68" s="1">
        <v>-47.298333</v>
      </c>
      <c r="AG68" s="1">
        <v>-16.919444</v>
      </c>
      <c r="AH68" s="1" t="s">
        <v>442</v>
      </c>
      <c r="AI68" s="1"/>
      <c r="AJ68" s="1" t="s">
        <v>244</v>
      </c>
      <c r="AK68" s="1"/>
      <c r="AL68" s="1" t="s">
        <v>118</v>
      </c>
      <c r="AM68" s="1" t="s">
        <v>65</v>
      </c>
      <c r="AN68" s="1" t="s">
        <v>432</v>
      </c>
      <c r="AO68" s="2">
        <v>44021.0</v>
      </c>
      <c r="AP68" s="2">
        <v>44104.4559375</v>
      </c>
      <c r="AQ68" s="1" t="s">
        <v>80</v>
      </c>
      <c r="AR68" s="1" t="s">
        <v>392</v>
      </c>
      <c r="AS68" s="1" t="s">
        <v>434</v>
      </c>
      <c r="AT68" s="2">
        <v>44269.931099537</v>
      </c>
    </row>
    <row r="69" ht="13.5" customHeight="1">
      <c r="A69" s="1">
        <v>2038867.0</v>
      </c>
      <c r="B69" s="1" t="s">
        <v>67</v>
      </c>
      <c r="C69" s="1" t="s">
        <v>68</v>
      </c>
      <c r="D69" s="1" t="s">
        <v>46</v>
      </c>
      <c r="E69" s="1" t="s">
        <v>443</v>
      </c>
      <c r="F69" s="1"/>
      <c r="G69" s="1" t="s">
        <v>70</v>
      </c>
      <c r="H69" s="1" t="s">
        <v>93</v>
      </c>
      <c r="I69" s="1">
        <v>55000.0</v>
      </c>
      <c r="J69" s="1"/>
      <c r="K69" s="1"/>
      <c r="L69" s="1" t="s">
        <v>444</v>
      </c>
      <c r="M69" s="1" t="s">
        <v>445</v>
      </c>
      <c r="N69" s="1" t="s">
        <v>142</v>
      </c>
      <c r="O69" s="1" t="s">
        <v>143</v>
      </c>
      <c r="P69" s="2">
        <v>43822.5833333333</v>
      </c>
      <c r="Q69" s="1" t="s">
        <v>373</v>
      </c>
      <c r="R69" s="3">
        <v>43822.0</v>
      </c>
      <c r="S69" s="1" t="s">
        <v>446</v>
      </c>
      <c r="T69" s="1">
        <v>1100700.0</v>
      </c>
      <c r="U69" s="1" t="s">
        <v>447</v>
      </c>
      <c r="V69" s="1" t="s">
        <v>448</v>
      </c>
      <c r="W69" s="1" t="s">
        <v>177</v>
      </c>
      <c r="X69" s="1"/>
      <c r="Y69" s="1" t="str">
        <f>"02024002674202058"</f>
        <v>02024002674202058</v>
      </c>
      <c r="Z69" s="1" t="s">
        <v>147</v>
      </c>
      <c r="AA69" s="1" t="s">
        <v>449</v>
      </c>
      <c r="AB69" s="1" t="str">
        <f>"***453672**"</f>
        <v>***453672**</v>
      </c>
      <c r="AC69" s="1"/>
      <c r="AD69" s="1"/>
      <c r="AE69" s="1"/>
      <c r="AF69" s="1">
        <v>-63.997501</v>
      </c>
      <c r="AG69" s="1">
        <v>-10.385278</v>
      </c>
      <c r="AH69" s="1" t="s">
        <v>450</v>
      </c>
      <c r="AI69" s="1"/>
      <c r="AJ69" s="1" t="s">
        <v>444</v>
      </c>
      <c r="AK69" s="1"/>
      <c r="AL69" s="1" t="s">
        <v>79</v>
      </c>
      <c r="AM69" s="1" t="s">
        <v>65</v>
      </c>
      <c r="AN69" s="1"/>
      <c r="AO69" s="2">
        <v>44047.0</v>
      </c>
      <c r="AP69" s="2">
        <v>44047.3725347222</v>
      </c>
      <c r="AQ69" s="1" t="s">
        <v>80</v>
      </c>
      <c r="AR69" s="1" t="s">
        <v>451</v>
      </c>
      <c r="AS69" s="1"/>
      <c r="AT69" s="2">
        <v>44269.931099537</v>
      </c>
    </row>
    <row r="70" ht="13.5" customHeight="1">
      <c r="A70" s="1">
        <v>2037997.0</v>
      </c>
      <c r="B70" s="1" t="s">
        <v>67</v>
      </c>
      <c r="C70" s="1" t="s">
        <v>68</v>
      </c>
      <c r="D70" s="1" t="s">
        <v>46</v>
      </c>
      <c r="E70" s="1" t="s">
        <v>452</v>
      </c>
      <c r="F70" s="1"/>
      <c r="G70" s="1" t="s">
        <v>70</v>
      </c>
      <c r="H70" s="1" t="s">
        <v>93</v>
      </c>
      <c r="I70" s="1">
        <v>8703.0</v>
      </c>
      <c r="J70" s="1"/>
      <c r="K70" s="1"/>
      <c r="L70" s="1" t="s">
        <v>167</v>
      </c>
      <c r="M70" s="1" t="s">
        <v>453</v>
      </c>
      <c r="N70" s="1" t="s">
        <v>142</v>
      </c>
      <c r="O70" s="1" t="s">
        <v>143</v>
      </c>
      <c r="P70" s="2">
        <v>43822.5416666667</v>
      </c>
      <c r="Q70" s="1" t="s">
        <v>55</v>
      </c>
      <c r="R70" s="1"/>
      <c r="S70" s="1"/>
      <c r="T70" s="1">
        <v>5103403.0</v>
      </c>
      <c r="U70" s="1" t="s">
        <v>221</v>
      </c>
      <c r="V70" s="1" t="s">
        <v>164</v>
      </c>
      <c r="W70" s="1" t="s">
        <v>177</v>
      </c>
      <c r="X70" s="1"/>
      <c r="Y70" s="1" t="str">
        <f>"02013001916202015"</f>
        <v>02013001916202015</v>
      </c>
      <c r="Z70" s="1" t="s">
        <v>147</v>
      </c>
      <c r="AA70" s="1" t="s">
        <v>454</v>
      </c>
      <c r="AB70" s="1" t="str">
        <f>"26754926000166"</f>
        <v>26754926000166</v>
      </c>
      <c r="AC70" s="1"/>
      <c r="AD70" s="1"/>
      <c r="AE70" s="1"/>
      <c r="AF70" s="1">
        <v>-56.059723</v>
      </c>
      <c r="AG70" s="1">
        <v>-15.558333</v>
      </c>
      <c r="AH70" s="1" t="s">
        <v>455</v>
      </c>
      <c r="AI70" s="1"/>
      <c r="AJ70" s="1" t="s">
        <v>167</v>
      </c>
      <c r="AK70" s="1"/>
      <c r="AL70" s="1" t="s">
        <v>79</v>
      </c>
      <c r="AM70" s="1" t="s">
        <v>65</v>
      </c>
      <c r="AN70" s="1" t="s">
        <v>168</v>
      </c>
      <c r="AO70" s="2">
        <v>44018.0</v>
      </c>
      <c r="AP70" s="2">
        <v>44018.6220023148</v>
      </c>
      <c r="AQ70" s="1" t="s">
        <v>80</v>
      </c>
      <c r="AR70" s="1" t="s">
        <v>181</v>
      </c>
      <c r="AS70" s="1"/>
      <c r="AT70" s="2">
        <v>44269.931099537</v>
      </c>
    </row>
    <row r="71" ht="13.5" customHeight="1">
      <c r="A71" s="1">
        <v>2039347.0</v>
      </c>
      <c r="B71" s="1" t="s">
        <v>67</v>
      </c>
      <c r="C71" s="1" t="s">
        <v>68</v>
      </c>
      <c r="D71" s="1" t="s">
        <v>46</v>
      </c>
      <c r="E71" s="1" t="s">
        <v>456</v>
      </c>
      <c r="F71" s="1"/>
      <c r="G71" s="1" t="s">
        <v>70</v>
      </c>
      <c r="H71" s="1" t="s">
        <v>93</v>
      </c>
      <c r="I71" s="1">
        <v>3000.0</v>
      </c>
      <c r="J71" s="1"/>
      <c r="K71" s="1"/>
      <c r="L71" s="1" t="s">
        <v>106</v>
      </c>
      <c r="M71" s="1" t="s">
        <v>457</v>
      </c>
      <c r="N71" s="1" t="s">
        <v>72</v>
      </c>
      <c r="O71" s="1" t="s">
        <v>213</v>
      </c>
      <c r="P71" s="2">
        <v>43822.5416666667</v>
      </c>
      <c r="Q71" s="1" t="s">
        <v>74</v>
      </c>
      <c r="R71" s="1"/>
      <c r="S71" s="1" t="s">
        <v>110</v>
      </c>
      <c r="T71" s="1">
        <v>2300309.0</v>
      </c>
      <c r="U71" s="1" t="s">
        <v>458</v>
      </c>
      <c r="V71" s="1" t="s">
        <v>112</v>
      </c>
      <c r="W71" s="1" t="s">
        <v>113</v>
      </c>
      <c r="X71" s="1"/>
      <c r="Y71" s="1" t="str">
        <f>"02007002640202071"</f>
        <v>02007002640202071</v>
      </c>
      <c r="Z71" s="1" t="s">
        <v>215</v>
      </c>
      <c r="AA71" s="1" t="s">
        <v>459</v>
      </c>
      <c r="AB71" s="1" t="str">
        <f>"01941538000163"</f>
        <v>01941538000163</v>
      </c>
      <c r="AC71" s="1"/>
      <c r="AD71" s="1"/>
      <c r="AE71" s="1"/>
      <c r="AF71" s="1">
        <v>-39.455833</v>
      </c>
      <c r="AG71" s="1">
        <v>-6.087778</v>
      </c>
      <c r="AH71" s="1" t="s">
        <v>460</v>
      </c>
      <c r="AI71" s="1"/>
      <c r="AJ71" s="1" t="s">
        <v>106</v>
      </c>
      <c r="AK71" s="1"/>
      <c r="AL71" s="1" t="s">
        <v>79</v>
      </c>
      <c r="AM71" s="1" t="s">
        <v>65</v>
      </c>
      <c r="AN71" s="1" t="s">
        <v>461</v>
      </c>
      <c r="AO71" s="2">
        <v>44061.0</v>
      </c>
      <c r="AP71" s="2">
        <v>44061.4503240741</v>
      </c>
      <c r="AQ71" s="1" t="s">
        <v>80</v>
      </c>
      <c r="AR71" s="1" t="s">
        <v>462</v>
      </c>
      <c r="AS71" s="1" t="s">
        <v>463</v>
      </c>
      <c r="AT71" s="2">
        <v>44269.931099537</v>
      </c>
    </row>
    <row r="72" ht="13.5" customHeight="1">
      <c r="A72" s="1"/>
      <c r="B72" s="1" t="s">
        <v>46</v>
      </c>
      <c r="C72" s="1" t="s">
        <v>47</v>
      </c>
      <c r="D72" s="1"/>
      <c r="E72" s="1" t="s">
        <v>464</v>
      </c>
      <c r="F72" s="1"/>
      <c r="G72" s="1" t="s">
        <v>49</v>
      </c>
      <c r="H72" s="1" t="s">
        <v>93</v>
      </c>
      <c r="I72" s="1">
        <v>10000.0</v>
      </c>
      <c r="J72" s="1"/>
      <c r="K72" s="1" t="s">
        <v>140</v>
      </c>
      <c r="L72" s="1"/>
      <c r="M72" s="1" t="s">
        <v>465</v>
      </c>
      <c r="N72" s="1" t="s">
        <v>212</v>
      </c>
      <c r="O72" s="1" t="s">
        <v>213</v>
      </c>
      <c r="P72" s="2">
        <v>43822.4502083333</v>
      </c>
      <c r="Q72" s="1" t="s">
        <v>74</v>
      </c>
      <c r="R72" s="1"/>
      <c r="S72" s="1" t="s">
        <v>110</v>
      </c>
      <c r="T72" s="1">
        <v>2312106.0</v>
      </c>
      <c r="U72" s="1" t="s">
        <v>466</v>
      </c>
      <c r="V72" s="1" t="s">
        <v>112</v>
      </c>
      <c r="W72" s="1" t="s">
        <v>113</v>
      </c>
      <c r="X72" s="1"/>
      <c r="Y72" s="1"/>
      <c r="Z72" s="1" t="s">
        <v>215</v>
      </c>
      <c r="AA72" s="1" t="s">
        <v>467</v>
      </c>
      <c r="AB72" s="1" t="str">
        <f>"***352313**"</f>
        <v>***352313**</v>
      </c>
      <c r="AC72" s="1"/>
      <c r="AD72" s="1" t="s">
        <v>62</v>
      </c>
      <c r="AE72" s="1"/>
      <c r="AF72" s="1">
        <v>-39.735001</v>
      </c>
      <c r="AG72" s="1">
        <v>-7.148889</v>
      </c>
      <c r="AH72" s="1" t="s">
        <v>468</v>
      </c>
      <c r="AI72" s="1"/>
      <c r="AJ72" s="1" t="s">
        <v>106</v>
      </c>
      <c r="AK72" s="1"/>
      <c r="AL72" s="1"/>
      <c r="AM72" s="1" t="s">
        <v>65</v>
      </c>
      <c r="AN72" s="1" t="s">
        <v>461</v>
      </c>
      <c r="AO72" s="1"/>
      <c r="AP72" s="2">
        <v>43955.3708796296</v>
      </c>
      <c r="AQ72" s="1"/>
      <c r="AR72" s="1" t="s">
        <v>229</v>
      </c>
      <c r="AS72" s="1" t="s">
        <v>469</v>
      </c>
      <c r="AT72" s="2">
        <v>44269.931099537</v>
      </c>
    </row>
    <row r="73" ht="13.5" customHeight="1">
      <c r="A73" s="1">
        <v>2036679.0</v>
      </c>
      <c r="B73" s="1" t="s">
        <v>67</v>
      </c>
      <c r="C73" s="1" t="s">
        <v>68</v>
      </c>
      <c r="D73" s="1" t="s">
        <v>46</v>
      </c>
      <c r="E73" s="1" t="s">
        <v>470</v>
      </c>
      <c r="F73" s="1"/>
      <c r="G73" s="1" t="s">
        <v>70</v>
      </c>
      <c r="H73" s="1" t="s">
        <v>93</v>
      </c>
      <c r="I73" s="1">
        <v>30500.0</v>
      </c>
      <c r="J73" s="1"/>
      <c r="K73" s="1"/>
      <c r="L73" s="1" t="s">
        <v>371</v>
      </c>
      <c r="M73" s="1" t="s">
        <v>471</v>
      </c>
      <c r="N73" s="1" t="s">
        <v>95</v>
      </c>
      <c r="O73" s="1" t="s">
        <v>96</v>
      </c>
      <c r="P73" s="2">
        <v>43822.4166666667</v>
      </c>
      <c r="Q73" s="1" t="s">
        <v>74</v>
      </c>
      <c r="R73" s="3">
        <v>43822.0</v>
      </c>
      <c r="S73" s="1"/>
      <c r="T73" s="1">
        <v>5208707.0</v>
      </c>
      <c r="U73" s="1" t="s">
        <v>472</v>
      </c>
      <c r="V73" s="1" t="s">
        <v>375</v>
      </c>
      <c r="W73" s="1" t="s">
        <v>127</v>
      </c>
      <c r="X73" s="1"/>
      <c r="Y73" s="1" t="str">
        <f>"02010000160202017"</f>
        <v>02010000160202017</v>
      </c>
      <c r="Z73" s="1" t="s">
        <v>98</v>
      </c>
      <c r="AA73" s="1" t="s">
        <v>473</v>
      </c>
      <c r="AB73" s="1" t="str">
        <f>"***124741**"</f>
        <v>***124741**</v>
      </c>
      <c r="AC73" s="1"/>
      <c r="AD73" s="1" t="s">
        <v>116</v>
      </c>
      <c r="AE73" s="1"/>
      <c r="AF73" s="1">
        <v>-49.246389</v>
      </c>
      <c r="AG73" s="1">
        <v>-16.674444</v>
      </c>
      <c r="AH73" s="1" t="s">
        <v>474</v>
      </c>
      <c r="AI73" s="1"/>
      <c r="AJ73" s="1" t="s">
        <v>371</v>
      </c>
      <c r="AK73" s="1"/>
      <c r="AL73" s="1" t="s">
        <v>118</v>
      </c>
      <c r="AM73" s="1" t="s">
        <v>65</v>
      </c>
      <c r="AN73" s="1" t="s">
        <v>378</v>
      </c>
      <c r="AO73" s="2">
        <v>43966.0</v>
      </c>
      <c r="AP73" s="2">
        <v>44067.6340277778</v>
      </c>
      <c r="AQ73" s="1" t="s">
        <v>80</v>
      </c>
      <c r="AR73" s="1" t="s">
        <v>475</v>
      </c>
      <c r="AS73" s="1"/>
      <c r="AT73" s="2">
        <v>44269.931099537</v>
      </c>
    </row>
    <row r="74" ht="13.5" customHeight="1">
      <c r="A74" s="1">
        <v>2035141.0</v>
      </c>
      <c r="B74" s="1" t="s">
        <v>67</v>
      </c>
      <c r="C74" s="1" t="s">
        <v>68</v>
      </c>
      <c r="D74" s="1" t="s">
        <v>46</v>
      </c>
      <c r="E74" s="1" t="s">
        <v>476</v>
      </c>
      <c r="F74" s="1"/>
      <c r="G74" s="1" t="s">
        <v>70</v>
      </c>
      <c r="H74" s="1" t="s">
        <v>93</v>
      </c>
      <c r="I74" s="1">
        <v>1000.0</v>
      </c>
      <c r="J74" s="1"/>
      <c r="K74" s="1"/>
      <c r="L74" s="1" t="s">
        <v>406</v>
      </c>
      <c r="M74" s="1" t="s">
        <v>477</v>
      </c>
      <c r="N74" s="1" t="s">
        <v>95</v>
      </c>
      <c r="O74" s="1" t="s">
        <v>96</v>
      </c>
      <c r="P74" s="2">
        <v>43822.375</v>
      </c>
      <c r="Q74" s="1" t="s">
        <v>373</v>
      </c>
      <c r="R74" s="3">
        <v>43822.0</v>
      </c>
      <c r="S74" s="1"/>
      <c r="T74" s="1">
        <v>3205200.0</v>
      </c>
      <c r="U74" s="1" t="s">
        <v>478</v>
      </c>
      <c r="V74" s="1" t="s">
        <v>403</v>
      </c>
      <c r="W74" s="1" t="s">
        <v>59</v>
      </c>
      <c r="X74" s="1"/>
      <c r="Y74" s="1" t="str">
        <f>"02009000491202096"</f>
        <v>02009000491202096</v>
      </c>
      <c r="Z74" s="1" t="s">
        <v>98</v>
      </c>
      <c r="AA74" s="1" t="s">
        <v>479</v>
      </c>
      <c r="AB74" s="1" t="str">
        <f>"***932287**"</f>
        <v>***932287**</v>
      </c>
      <c r="AC74" s="1"/>
      <c r="AD74" s="1"/>
      <c r="AE74" s="1"/>
      <c r="AF74" s="1">
        <v>-40.317776</v>
      </c>
      <c r="AG74" s="1">
        <v>-20.343613</v>
      </c>
      <c r="AH74" s="1" t="s">
        <v>480</v>
      </c>
      <c r="AI74" s="1"/>
      <c r="AJ74" s="1" t="s">
        <v>406</v>
      </c>
      <c r="AK74" s="1"/>
      <c r="AL74" s="1" t="s">
        <v>79</v>
      </c>
      <c r="AM74" s="1" t="s">
        <v>65</v>
      </c>
      <c r="AN74" s="1" t="s">
        <v>168</v>
      </c>
      <c r="AO74" s="2">
        <v>43895.0</v>
      </c>
      <c r="AP74" s="2">
        <v>43895.7109259259</v>
      </c>
      <c r="AQ74" s="1" t="s">
        <v>80</v>
      </c>
      <c r="AR74" s="1" t="s">
        <v>481</v>
      </c>
      <c r="AS74" s="1"/>
      <c r="AT74" s="2">
        <v>44269.931099537</v>
      </c>
    </row>
    <row r="75" ht="13.5" customHeight="1">
      <c r="A75" s="1">
        <v>2034413.0</v>
      </c>
      <c r="B75" s="1" t="s">
        <v>67</v>
      </c>
      <c r="C75" s="1" t="s">
        <v>68</v>
      </c>
      <c r="D75" s="1" t="s">
        <v>46</v>
      </c>
      <c r="E75" s="1">
        <v>207302.0</v>
      </c>
      <c r="F75" s="1" t="s">
        <v>482</v>
      </c>
      <c r="G75" s="1" t="s">
        <v>70</v>
      </c>
      <c r="H75" s="1" t="s">
        <v>93</v>
      </c>
      <c r="I75" s="1">
        <v>20500.0</v>
      </c>
      <c r="J75" s="1"/>
      <c r="K75" s="1"/>
      <c r="L75" s="1" t="s">
        <v>483</v>
      </c>
      <c r="M75" s="1" t="s">
        <v>484</v>
      </c>
      <c r="N75" s="1" t="s">
        <v>72</v>
      </c>
      <c r="O75" s="1"/>
      <c r="P75" s="2">
        <v>43819.8486111111</v>
      </c>
      <c r="Q75" s="1" t="s">
        <v>373</v>
      </c>
      <c r="R75" s="1"/>
      <c r="S75" s="1"/>
      <c r="T75" s="1">
        <v>1303700.0</v>
      </c>
      <c r="U75" s="1" t="s">
        <v>485</v>
      </c>
      <c r="V75" s="1" t="s">
        <v>486</v>
      </c>
      <c r="W75" s="1" t="s">
        <v>177</v>
      </c>
      <c r="X75" s="1"/>
      <c r="Y75" s="1" t="str">
        <f>"02005000055202057"</f>
        <v>02005000055202057</v>
      </c>
      <c r="Z75" s="1" t="s">
        <v>215</v>
      </c>
      <c r="AA75" s="1" t="s">
        <v>487</v>
      </c>
      <c r="AB75" s="1" t="str">
        <f>"***467742**"</f>
        <v>***467742**</v>
      </c>
      <c r="AC75" s="1"/>
      <c r="AD75" s="1" t="s">
        <v>116</v>
      </c>
      <c r="AE75" s="1"/>
      <c r="AF75" s="1">
        <v>-68.409444</v>
      </c>
      <c r="AG75" s="1">
        <v>-3.236667</v>
      </c>
      <c r="AH75" s="1" t="s">
        <v>488</v>
      </c>
      <c r="AI75" s="1"/>
      <c r="AJ75" s="1" t="s">
        <v>489</v>
      </c>
      <c r="AK75" s="1"/>
      <c r="AL75" s="1" t="s">
        <v>118</v>
      </c>
      <c r="AM75" s="1"/>
      <c r="AN75" s="1"/>
      <c r="AO75" s="2">
        <v>43838.3810532408</v>
      </c>
      <c r="AP75" s="2">
        <v>43838.3962268519</v>
      </c>
      <c r="AQ75" s="1" t="s">
        <v>80</v>
      </c>
      <c r="AR75" s="1" t="s">
        <v>490</v>
      </c>
      <c r="AS75" s="1"/>
      <c r="AT75" s="2">
        <v>44269.931099537</v>
      </c>
    </row>
    <row r="76" ht="13.5" customHeight="1">
      <c r="A76" s="1"/>
      <c r="B76" s="1" t="s">
        <v>46</v>
      </c>
      <c r="C76" s="1" t="s">
        <v>47</v>
      </c>
      <c r="D76" s="1"/>
      <c r="E76" s="1" t="s">
        <v>491</v>
      </c>
      <c r="F76" s="1"/>
      <c r="G76" s="1" t="s">
        <v>49</v>
      </c>
      <c r="H76" s="1" t="s">
        <v>93</v>
      </c>
      <c r="I76" s="1">
        <v>6900.0</v>
      </c>
      <c r="J76" s="1"/>
      <c r="K76" s="1" t="s">
        <v>51</v>
      </c>
      <c r="L76" s="1"/>
      <c r="M76" s="1" t="s">
        <v>492</v>
      </c>
      <c r="N76" s="1" t="s">
        <v>142</v>
      </c>
      <c r="O76" s="1" t="s">
        <v>143</v>
      </c>
      <c r="P76" s="2">
        <v>43819.7919560185</v>
      </c>
      <c r="Q76" s="1" t="s">
        <v>74</v>
      </c>
      <c r="R76" s="1"/>
      <c r="S76" s="1" t="s">
        <v>110</v>
      </c>
      <c r="T76" s="1">
        <v>4317103.0</v>
      </c>
      <c r="U76" s="1" t="s">
        <v>144</v>
      </c>
      <c r="V76" s="1" t="s">
        <v>145</v>
      </c>
      <c r="W76" s="1" t="s">
        <v>146</v>
      </c>
      <c r="X76" s="1"/>
      <c r="Y76" s="1"/>
      <c r="Z76" s="1" t="s">
        <v>147</v>
      </c>
      <c r="AA76" s="1" t="s">
        <v>493</v>
      </c>
      <c r="AB76" s="1" t="str">
        <f>"17911039000163"</f>
        <v>17911039000163</v>
      </c>
      <c r="AC76" s="1"/>
      <c r="AD76" s="1" t="s">
        <v>149</v>
      </c>
      <c r="AE76" s="1"/>
      <c r="AF76" s="1">
        <v>-55.539165</v>
      </c>
      <c r="AG76" s="1">
        <v>-30.877777</v>
      </c>
      <c r="AH76" s="1" t="s">
        <v>150</v>
      </c>
      <c r="AI76" s="1"/>
      <c r="AJ76" s="1" t="s">
        <v>151</v>
      </c>
      <c r="AK76" s="1"/>
      <c r="AL76" s="1"/>
      <c r="AM76" s="1" t="s">
        <v>65</v>
      </c>
      <c r="AN76" s="1" t="s">
        <v>152</v>
      </c>
      <c r="AO76" s="1"/>
      <c r="AP76" s="2">
        <v>43829.7980787037</v>
      </c>
      <c r="AQ76" s="1"/>
      <c r="AR76" s="1" t="s">
        <v>494</v>
      </c>
      <c r="AS76" s="1"/>
      <c r="AT76" s="2">
        <v>44269.931099537</v>
      </c>
    </row>
    <row r="77" ht="13.5" customHeight="1">
      <c r="A77" s="1"/>
      <c r="B77" s="1" t="s">
        <v>46</v>
      </c>
      <c r="C77" s="1" t="s">
        <v>47</v>
      </c>
      <c r="D77" s="1"/>
      <c r="E77" s="1" t="s">
        <v>495</v>
      </c>
      <c r="F77" s="1"/>
      <c r="G77" s="1" t="s">
        <v>49</v>
      </c>
      <c r="H77" s="1" t="s">
        <v>93</v>
      </c>
      <c r="I77" s="1">
        <v>10000.0</v>
      </c>
      <c r="J77" s="1"/>
      <c r="K77" s="1"/>
      <c r="L77" s="1"/>
      <c r="M77" s="1" t="s">
        <v>496</v>
      </c>
      <c r="N77" s="1" t="s">
        <v>95</v>
      </c>
      <c r="O77" s="1" t="s">
        <v>96</v>
      </c>
      <c r="P77" s="2">
        <v>43819.7784027778</v>
      </c>
      <c r="Q77" s="1" t="s">
        <v>373</v>
      </c>
      <c r="R77" s="1"/>
      <c r="S77" s="1"/>
      <c r="T77" s="1">
        <v>1200203.0</v>
      </c>
      <c r="U77" s="1" t="s">
        <v>497</v>
      </c>
      <c r="V77" s="1" t="s">
        <v>498</v>
      </c>
      <c r="W77" s="1" t="s">
        <v>177</v>
      </c>
      <c r="X77" s="1"/>
      <c r="Y77" s="1" t="str">
        <f>"02021000614202021"</f>
        <v>02021000614202021</v>
      </c>
      <c r="Z77" s="1" t="s">
        <v>98</v>
      </c>
      <c r="AA77" s="1" t="s">
        <v>499</v>
      </c>
      <c r="AB77" s="1"/>
      <c r="AC77" s="1"/>
      <c r="AD77" s="1" t="s">
        <v>149</v>
      </c>
      <c r="AE77" s="1"/>
      <c r="AF77" s="1">
        <v>-71.861664</v>
      </c>
      <c r="AG77" s="1">
        <v>-7.980556</v>
      </c>
      <c r="AH77" s="1" t="s">
        <v>500</v>
      </c>
      <c r="AI77" s="1"/>
      <c r="AJ77" s="1" t="s">
        <v>501</v>
      </c>
      <c r="AK77" s="1"/>
      <c r="AL77" s="1"/>
      <c r="AM77" s="1" t="s">
        <v>65</v>
      </c>
      <c r="AN77" s="1"/>
      <c r="AO77" s="1"/>
      <c r="AP77" s="2">
        <v>43819.7915393519</v>
      </c>
      <c r="AQ77" s="1"/>
      <c r="AR77" s="1" t="s">
        <v>502</v>
      </c>
      <c r="AS77" s="1"/>
      <c r="AT77" s="2">
        <v>44269.931099537</v>
      </c>
    </row>
    <row r="78" ht="13.5" customHeight="1">
      <c r="A78" s="1">
        <v>2042965.0</v>
      </c>
      <c r="B78" s="1" t="s">
        <v>67</v>
      </c>
      <c r="C78" s="1" t="s">
        <v>68</v>
      </c>
      <c r="D78" s="1" t="s">
        <v>46</v>
      </c>
      <c r="E78" s="1" t="s">
        <v>503</v>
      </c>
      <c r="F78" s="1"/>
      <c r="G78" s="1" t="s">
        <v>70</v>
      </c>
      <c r="H78" s="1" t="s">
        <v>93</v>
      </c>
      <c r="I78" s="1">
        <v>1200.0</v>
      </c>
      <c r="J78" s="1"/>
      <c r="K78" s="1"/>
      <c r="L78" s="1" t="s">
        <v>101</v>
      </c>
      <c r="M78" s="1" t="s">
        <v>504</v>
      </c>
      <c r="N78" s="1" t="s">
        <v>108</v>
      </c>
      <c r="O78" s="1" t="s">
        <v>109</v>
      </c>
      <c r="P78" s="2">
        <v>43819.75</v>
      </c>
      <c r="Q78" s="1" t="s">
        <v>74</v>
      </c>
      <c r="R78" s="3">
        <v>43825.0</v>
      </c>
      <c r="S78" s="1"/>
      <c r="T78" s="1">
        <v>3509502.0</v>
      </c>
      <c r="U78" s="1" t="s">
        <v>97</v>
      </c>
      <c r="V78" s="1" t="s">
        <v>58</v>
      </c>
      <c r="W78" s="1" t="s">
        <v>59</v>
      </c>
      <c r="X78" s="1"/>
      <c r="Y78" s="1" t="str">
        <f>"02285000907201973"</f>
        <v>02285000907201973</v>
      </c>
      <c r="Z78" s="1" t="s">
        <v>226</v>
      </c>
      <c r="AA78" s="1" t="s">
        <v>505</v>
      </c>
      <c r="AB78" s="1" t="str">
        <f>"47010566000168"</f>
        <v>47010566000168</v>
      </c>
      <c r="AC78" s="1"/>
      <c r="AD78" s="1"/>
      <c r="AE78" s="1"/>
      <c r="AF78" s="1">
        <v>-47.144169</v>
      </c>
      <c r="AG78" s="1">
        <v>-23.007778</v>
      </c>
      <c r="AH78" s="1" t="s">
        <v>506</v>
      </c>
      <c r="AI78" s="1"/>
      <c r="AJ78" s="1" t="s">
        <v>101</v>
      </c>
      <c r="AK78" s="1"/>
      <c r="AL78" s="1" t="s">
        <v>79</v>
      </c>
      <c r="AM78" s="1" t="s">
        <v>65</v>
      </c>
      <c r="AN78" s="1" t="s">
        <v>102</v>
      </c>
      <c r="AO78" s="2">
        <v>44223.0</v>
      </c>
      <c r="AP78" s="2">
        <v>44223.4210532407</v>
      </c>
      <c r="AQ78" s="1" t="s">
        <v>80</v>
      </c>
      <c r="AR78" s="1" t="s">
        <v>507</v>
      </c>
      <c r="AS78" s="1" t="s">
        <v>508</v>
      </c>
      <c r="AT78" s="2">
        <v>44269.931099537</v>
      </c>
    </row>
    <row r="79" ht="13.5" customHeight="1">
      <c r="A79" s="1"/>
      <c r="B79" s="1" t="s">
        <v>46</v>
      </c>
      <c r="C79" s="1" t="s">
        <v>47</v>
      </c>
      <c r="D79" s="1"/>
      <c r="E79" s="1" t="s">
        <v>509</v>
      </c>
      <c r="F79" s="1"/>
      <c r="G79" s="1" t="s">
        <v>49</v>
      </c>
      <c r="H79" s="1" t="s">
        <v>93</v>
      </c>
      <c r="I79" s="1">
        <v>1300.0</v>
      </c>
      <c r="J79" s="1"/>
      <c r="K79" s="1" t="s">
        <v>51</v>
      </c>
      <c r="L79" s="1"/>
      <c r="M79" s="1" t="s">
        <v>510</v>
      </c>
      <c r="N79" s="1" t="s">
        <v>108</v>
      </c>
      <c r="O79" s="1" t="s">
        <v>109</v>
      </c>
      <c r="P79" s="2">
        <v>43819.7337615741</v>
      </c>
      <c r="Q79" s="1" t="s">
        <v>74</v>
      </c>
      <c r="R79" s="3">
        <v>43819.0</v>
      </c>
      <c r="S79" s="1"/>
      <c r="T79" s="1">
        <v>3509502.0</v>
      </c>
      <c r="U79" s="1" t="s">
        <v>97</v>
      </c>
      <c r="V79" s="1" t="s">
        <v>58</v>
      </c>
      <c r="W79" s="1" t="s">
        <v>59</v>
      </c>
      <c r="X79" s="1"/>
      <c r="Y79" s="1"/>
      <c r="Z79" s="1" t="s">
        <v>226</v>
      </c>
      <c r="AA79" s="1" t="s">
        <v>511</v>
      </c>
      <c r="AB79" s="1" t="str">
        <f>"15709270000143"</f>
        <v>15709270000143</v>
      </c>
      <c r="AC79" s="1"/>
      <c r="AD79" s="1" t="s">
        <v>62</v>
      </c>
      <c r="AE79" s="1"/>
      <c r="AF79" s="1">
        <v>-47.144169</v>
      </c>
      <c r="AG79" s="1">
        <v>-23.007778</v>
      </c>
      <c r="AH79" s="1" t="s">
        <v>512</v>
      </c>
      <c r="AI79" s="1"/>
      <c r="AJ79" s="1" t="s">
        <v>101</v>
      </c>
      <c r="AK79" s="1"/>
      <c r="AL79" s="1"/>
      <c r="AM79" s="1" t="s">
        <v>65</v>
      </c>
      <c r="AN79" s="1" t="s">
        <v>102</v>
      </c>
      <c r="AO79" s="1"/>
      <c r="AP79" s="2">
        <v>43819.7382638889</v>
      </c>
      <c r="AQ79" s="1"/>
      <c r="AR79" s="1" t="s">
        <v>229</v>
      </c>
      <c r="AS79" s="1" t="s">
        <v>508</v>
      </c>
      <c r="AT79" s="2">
        <v>44269.931099537</v>
      </c>
    </row>
    <row r="80" ht="13.5" customHeight="1">
      <c r="A80" s="1"/>
      <c r="B80" s="1" t="s">
        <v>46</v>
      </c>
      <c r="C80" s="1" t="s">
        <v>47</v>
      </c>
      <c r="D80" s="1"/>
      <c r="E80" s="1" t="s">
        <v>513</v>
      </c>
      <c r="F80" s="1"/>
      <c r="G80" s="1" t="s">
        <v>49</v>
      </c>
      <c r="H80" s="1" t="s">
        <v>93</v>
      </c>
      <c r="I80" s="1">
        <v>1100.0</v>
      </c>
      <c r="J80" s="1"/>
      <c r="K80" s="1" t="s">
        <v>51</v>
      </c>
      <c r="L80" s="1"/>
      <c r="M80" s="1" t="s">
        <v>514</v>
      </c>
      <c r="N80" s="1" t="s">
        <v>108</v>
      </c>
      <c r="O80" s="1" t="s">
        <v>109</v>
      </c>
      <c r="P80" s="2">
        <v>43819.7115740741</v>
      </c>
      <c r="Q80" s="1" t="s">
        <v>74</v>
      </c>
      <c r="R80" s="3">
        <v>43819.0</v>
      </c>
      <c r="S80" s="1"/>
      <c r="T80" s="1">
        <v>3509502.0</v>
      </c>
      <c r="U80" s="1" t="s">
        <v>97</v>
      </c>
      <c r="V80" s="1" t="s">
        <v>58</v>
      </c>
      <c r="W80" s="1" t="s">
        <v>59</v>
      </c>
      <c r="X80" s="1"/>
      <c r="Y80" s="1"/>
      <c r="Z80" s="1" t="s">
        <v>226</v>
      </c>
      <c r="AA80" s="1" t="s">
        <v>515</v>
      </c>
      <c r="AB80" s="1" t="str">
        <f>"03013203000100"</f>
        <v>03013203000100</v>
      </c>
      <c r="AC80" s="1"/>
      <c r="AD80" s="1" t="s">
        <v>62</v>
      </c>
      <c r="AE80" s="1"/>
      <c r="AF80" s="1">
        <v>-47.144169</v>
      </c>
      <c r="AG80" s="1">
        <v>-23.007778</v>
      </c>
      <c r="AH80" s="1" t="s">
        <v>516</v>
      </c>
      <c r="AI80" s="1"/>
      <c r="AJ80" s="1" t="s">
        <v>101</v>
      </c>
      <c r="AK80" s="1"/>
      <c r="AL80" s="1"/>
      <c r="AM80" s="1" t="s">
        <v>65</v>
      </c>
      <c r="AN80" s="1" t="s">
        <v>102</v>
      </c>
      <c r="AO80" s="1"/>
      <c r="AP80" s="2">
        <v>43819.7167361111</v>
      </c>
      <c r="AQ80" s="1"/>
      <c r="AR80" s="1" t="s">
        <v>229</v>
      </c>
      <c r="AS80" s="1" t="s">
        <v>508</v>
      </c>
      <c r="AT80" s="2">
        <v>44269.931099537</v>
      </c>
    </row>
    <row r="81" ht="13.5" customHeight="1">
      <c r="A81" s="1"/>
      <c r="B81" s="1" t="s">
        <v>46</v>
      </c>
      <c r="C81" s="1" t="s">
        <v>47</v>
      </c>
      <c r="D81" s="1"/>
      <c r="E81" s="1" t="s">
        <v>517</v>
      </c>
      <c r="F81" s="1"/>
      <c r="G81" s="1" t="s">
        <v>49</v>
      </c>
      <c r="H81" s="1" t="s">
        <v>93</v>
      </c>
      <c r="I81" s="1">
        <v>1100.0</v>
      </c>
      <c r="J81" s="1"/>
      <c r="K81" s="1" t="s">
        <v>51</v>
      </c>
      <c r="L81" s="1"/>
      <c r="M81" s="1" t="s">
        <v>518</v>
      </c>
      <c r="N81" s="1" t="s">
        <v>108</v>
      </c>
      <c r="O81" s="1" t="s">
        <v>109</v>
      </c>
      <c r="P81" s="2">
        <v>43819.7021064815</v>
      </c>
      <c r="Q81" s="1" t="s">
        <v>74</v>
      </c>
      <c r="R81" s="3">
        <v>43819.0</v>
      </c>
      <c r="S81" s="1"/>
      <c r="T81" s="1">
        <v>3509502.0</v>
      </c>
      <c r="U81" s="1" t="s">
        <v>97</v>
      </c>
      <c r="V81" s="1" t="s">
        <v>58</v>
      </c>
      <c r="W81" s="1" t="s">
        <v>59</v>
      </c>
      <c r="X81" s="1"/>
      <c r="Y81" s="1"/>
      <c r="Z81" s="1" t="s">
        <v>226</v>
      </c>
      <c r="AA81" s="1" t="s">
        <v>519</v>
      </c>
      <c r="AB81" s="1" t="str">
        <f>"06114935001580"</f>
        <v>06114935001580</v>
      </c>
      <c r="AC81" s="1"/>
      <c r="AD81" s="1" t="s">
        <v>62</v>
      </c>
      <c r="AE81" s="1"/>
      <c r="AF81" s="1">
        <v>-47.144169</v>
      </c>
      <c r="AG81" s="1">
        <v>-23.007778</v>
      </c>
      <c r="AH81" s="1" t="s">
        <v>520</v>
      </c>
      <c r="AI81" s="1"/>
      <c r="AJ81" s="1" t="s">
        <v>101</v>
      </c>
      <c r="AK81" s="1"/>
      <c r="AL81" s="1"/>
      <c r="AM81" s="1" t="s">
        <v>65</v>
      </c>
      <c r="AN81" s="1" t="s">
        <v>102</v>
      </c>
      <c r="AO81" s="1"/>
      <c r="AP81" s="2">
        <v>43819.7069675926</v>
      </c>
      <c r="AQ81" s="1"/>
      <c r="AR81" s="1" t="s">
        <v>229</v>
      </c>
      <c r="AS81" s="1" t="s">
        <v>521</v>
      </c>
      <c r="AT81" s="2">
        <v>44269.931099537</v>
      </c>
    </row>
    <row r="82" ht="13.5" customHeight="1">
      <c r="A82" s="1"/>
      <c r="B82" s="1" t="s">
        <v>46</v>
      </c>
      <c r="C82" s="1" t="s">
        <v>47</v>
      </c>
      <c r="D82" s="1"/>
      <c r="E82" s="1" t="s">
        <v>522</v>
      </c>
      <c r="F82" s="1"/>
      <c r="G82" s="1" t="s">
        <v>49</v>
      </c>
      <c r="H82" s="1" t="s">
        <v>93</v>
      </c>
      <c r="I82" s="1">
        <v>6000.0</v>
      </c>
      <c r="J82" s="1"/>
      <c r="K82" s="1"/>
      <c r="L82" s="1"/>
      <c r="M82" s="1" t="s">
        <v>523</v>
      </c>
      <c r="N82" s="1" t="s">
        <v>212</v>
      </c>
      <c r="O82" s="1" t="s">
        <v>213</v>
      </c>
      <c r="P82" s="2">
        <v>43819.6918981482</v>
      </c>
      <c r="Q82" s="1" t="s">
        <v>74</v>
      </c>
      <c r="R82" s="3">
        <v>43826.0</v>
      </c>
      <c r="S82" s="1"/>
      <c r="T82" s="1">
        <v>5106109.0</v>
      </c>
      <c r="U82" s="1" t="s">
        <v>214</v>
      </c>
      <c r="V82" s="1" t="s">
        <v>164</v>
      </c>
      <c r="W82" s="1" t="s">
        <v>127</v>
      </c>
      <c r="X82" s="1"/>
      <c r="Y82" s="1"/>
      <c r="Z82" s="1" t="s">
        <v>215</v>
      </c>
      <c r="AA82" s="1" t="s">
        <v>524</v>
      </c>
      <c r="AB82" s="1" t="str">
        <f>"***666391**"</f>
        <v>***666391**</v>
      </c>
      <c r="AC82" s="1"/>
      <c r="AD82" s="1" t="s">
        <v>149</v>
      </c>
      <c r="AE82" s="1"/>
      <c r="AF82" s="1">
        <v>-56.55389</v>
      </c>
      <c r="AG82" s="1">
        <v>-15.933888</v>
      </c>
      <c r="AH82" s="1" t="s">
        <v>525</v>
      </c>
      <c r="AI82" s="1"/>
      <c r="AJ82" s="1" t="s">
        <v>167</v>
      </c>
      <c r="AK82" s="1"/>
      <c r="AL82" s="1"/>
      <c r="AM82" s="1" t="s">
        <v>65</v>
      </c>
      <c r="AN82" s="1" t="s">
        <v>168</v>
      </c>
      <c r="AO82" s="1"/>
      <c r="AP82" s="2">
        <v>43827.1103472222</v>
      </c>
      <c r="AQ82" s="1"/>
      <c r="AR82" s="1" t="s">
        <v>218</v>
      </c>
      <c r="AS82" s="1"/>
      <c r="AT82" s="2">
        <v>44269.931099537</v>
      </c>
    </row>
    <row r="83" ht="13.5" customHeight="1">
      <c r="A83" s="1"/>
      <c r="B83" s="1" t="s">
        <v>46</v>
      </c>
      <c r="C83" s="1" t="s">
        <v>47</v>
      </c>
      <c r="D83" s="1"/>
      <c r="E83" s="1" t="s">
        <v>526</v>
      </c>
      <c r="F83" s="1"/>
      <c r="G83" s="1" t="s">
        <v>49</v>
      </c>
      <c r="H83" s="1" t="s">
        <v>93</v>
      </c>
      <c r="I83" s="1">
        <v>3309.3</v>
      </c>
      <c r="J83" s="1"/>
      <c r="K83" s="1"/>
      <c r="L83" s="1"/>
      <c r="M83" s="1" t="s">
        <v>527</v>
      </c>
      <c r="N83" s="1" t="s">
        <v>142</v>
      </c>
      <c r="O83" s="1" t="s">
        <v>143</v>
      </c>
      <c r="P83" s="2">
        <v>43819.6833333333</v>
      </c>
      <c r="Q83" s="1" t="s">
        <v>373</v>
      </c>
      <c r="R83" s="1"/>
      <c r="S83" s="1"/>
      <c r="T83" s="1">
        <v>5005608.0</v>
      </c>
      <c r="U83" s="1" t="s">
        <v>528</v>
      </c>
      <c r="V83" s="1" t="s">
        <v>529</v>
      </c>
      <c r="W83" s="1" t="s">
        <v>530</v>
      </c>
      <c r="X83" s="1"/>
      <c r="Y83" s="1"/>
      <c r="Z83" s="1" t="s">
        <v>147</v>
      </c>
      <c r="AA83" s="1" t="s">
        <v>531</v>
      </c>
      <c r="AB83" s="1" t="str">
        <f>"***904178**"</f>
        <v>***904178**</v>
      </c>
      <c r="AC83" s="1"/>
      <c r="AD83" s="1" t="s">
        <v>62</v>
      </c>
      <c r="AE83" s="1"/>
      <c r="AF83" s="1">
        <v>-56.972778</v>
      </c>
      <c r="AG83" s="1">
        <v>-20.16</v>
      </c>
      <c r="AH83" s="1" t="s">
        <v>532</v>
      </c>
      <c r="AI83" s="1"/>
      <c r="AJ83" s="1" t="s">
        <v>533</v>
      </c>
      <c r="AK83" s="1"/>
      <c r="AL83" s="1"/>
      <c r="AM83" s="1" t="s">
        <v>65</v>
      </c>
      <c r="AN83" s="1" t="s">
        <v>534</v>
      </c>
      <c r="AO83" s="1"/>
      <c r="AP83" s="2">
        <v>44018.9850347222</v>
      </c>
      <c r="AQ83" s="1"/>
      <c r="AR83" s="1" t="s">
        <v>280</v>
      </c>
      <c r="AS83" s="1" t="s">
        <v>535</v>
      </c>
      <c r="AT83" s="2">
        <v>44269.931099537</v>
      </c>
    </row>
    <row r="84" ht="13.5" customHeight="1">
      <c r="A84" s="1">
        <v>2035008.0</v>
      </c>
      <c r="B84" s="1" t="s">
        <v>67</v>
      </c>
      <c r="C84" s="1" t="s">
        <v>68</v>
      </c>
      <c r="D84" s="1" t="s">
        <v>46</v>
      </c>
      <c r="E84" s="1" t="s">
        <v>536</v>
      </c>
      <c r="F84" s="1"/>
      <c r="G84" s="1" t="s">
        <v>70</v>
      </c>
      <c r="H84" s="1" t="s">
        <v>93</v>
      </c>
      <c r="I84" s="1">
        <v>7805.7</v>
      </c>
      <c r="J84" s="1"/>
      <c r="K84" s="1"/>
      <c r="L84" s="1" t="s">
        <v>537</v>
      </c>
      <c r="M84" s="1" t="s">
        <v>538</v>
      </c>
      <c r="N84" s="1" t="s">
        <v>142</v>
      </c>
      <c r="O84" s="1" t="s">
        <v>143</v>
      </c>
      <c r="P84" s="2">
        <v>43819.6666666667</v>
      </c>
      <c r="Q84" s="1" t="s">
        <v>55</v>
      </c>
      <c r="R84" s="3">
        <v>43819.0</v>
      </c>
      <c r="S84" s="1"/>
      <c r="T84" s="1">
        <v>2105302.0</v>
      </c>
      <c r="U84" s="1" t="s">
        <v>539</v>
      </c>
      <c r="V84" s="1" t="s">
        <v>540</v>
      </c>
      <c r="W84" s="1" t="s">
        <v>177</v>
      </c>
      <c r="X84" s="1"/>
      <c r="Y84" s="1" t="str">
        <f>"02012000549202042"</f>
        <v>02012000549202042</v>
      </c>
      <c r="Z84" s="1" t="s">
        <v>147</v>
      </c>
      <c r="AA84" s="1" t="s">
        <v>541</v>
      </c>
      <c r="AB84" s="1" t="str">
        <f>"***740564**"</f>
        <v>***740564**</v>
      </c>
      <c r="AC84" s="1"/>
      <c r="AD84" s="1"/>
      <c r="AE84" s="1"/>
      <c r="AF84" s="1">
        <v>-47.4725</v>
      </c>
      <c r="AG84" s="1">
        <v>-5.455277</v>
      </c>
      <c r="AH84" s="1" t="s">
        <v>542</v>
      </c>
      <c r="AI84" s="1"/>
      <c r="AJ84" s="1" t="s">
        <v>537</v>
      </c>
      <c r="AK84" s="1"/>
      <c r="AL84" s="1" t="s">
        <v>79</v>
      </c>
      <c r="AM84" s="1" t="s">
        <v>65</v>
      </c>
      <c r="AN84" s="1" t="s">
        <v>543</v>
      </c>
      <c r="AO84" s="2">
        <v>43893.0</v>
      </c>
      <c r="AP84" s="2">
        <v>43893.6043634259</v>
      </c>
      <c r="AQ84" s="1" t="s">
        <v>80</v>
      </c>
      <c r="AR84" s="1" t="s">
        <v>181</v>
      </c>
      <c r="AS84" s="1"/>
      <c r="AT84" s="2">
        <v>44269.931099537</v>
      </c>
    </row>
    <row r="85" ht="13.5" customHeight="1">
      <c r="A85" s="1"/>
      <c r="B85" s="1" t="s">
        <v>46</v>
      </c>
      <c r="C85" s="1" t="s">
        <v>47</v>
      </c>
      <c r="D85" s="1"/>
      <c r="E85" s="1" t="s">
        <v>544</v>
      </c>
      <c r="F85" s="1"/>
      <c r="G85" s="1" t="s">
        <v>49</v>
      </c>
      <c r="H85" s="1" t="s">
        <v>93</v>
      </c>
      <c r="I85" s="1">
        <v>3309.3</v>
      </c>
      <c r="J85" s="1"/>
      <c r="K85" s="1"/>
      <c r="L85" s="1"/>
      <c r="M85" s="1" t="s">
        <v>545</v>
      </c>
      <c r="N85" s="1" t="s">
        <v>142</v>
      </c>
      <c r="O85" s="1" t="s">
        <v>143</v>
      </c>
      <c r="P85" s="2">
        <v>43819.6484953704</v>
      </c>
      <c r="Q85" s="1" t="s">
        <v>373</v>
      </c>
      <c r="R85" s="1"/>
      <c r="S85" s="1"/>
      <c r="T85" s="1">
        <v>5005608.0</v>
      </c>
      <c r="U85" s="1" t="s">
        <v>528</v>
      </c>
      <c r="V85" s="1" t="s">
        <v>529</v>
      </c>
      <c r="W85" s="1" t="s">
        <v>530</v>
      </c>
      <c r="X85" s="1"/>
      <c r="Y85" s="1"/>
      <c r="Z85" s="1" t="s">
        <v>147</v>
      </c>
      <c r="AA85" s="1" t="s">
        <v>546</v>
      </c>
      <c r="AB85" s="1" t="str">
        <f>"***262291**"</f>
        <v>***262291**</v>
      </c>
      <c r="AC85" s="1"/>
      <c r="AD85" s="1" t="s">
        <v>62</v>
      </c>
      <c r="AE85" s="1"/>
      <c r="AF85" s="1">
        <v>-56.972778</v>
      </c>
      <c r="AG85" s="1">
        <v>-20.16</v>
      </c>
      <c r="AH85" s="1" t="s">
        <v>532</v>
      </c>
      <c r="AI85" s="1"/>
      <c r="AJ85" s="1" t="s">
        <v>533</v>
      </c>
      <c r="AK85" s="1"/>
      <c r="AL85" s="1"/>
      <c r="AM85" s="1" t="s">
        <v>65</v>
      </c>
      <c r="AN85" s="1" t="s">
        <v>534</v>
      </c>
      <c r="AO85" s="1"/>
      <c r="AP85" s="2">
        <v>44018.9849305556</v>
      </c>
      <c r="AQ85" s="1"/>
      <c r="AR85" s="1" t="s">
        <v>280</v>
      </c>
      <c r="AS85" s="1" t="s">
        <v>547</v>
      </c>
      <c r="AT85" s="2">
        <v>44269.931099537</v>
      </c>
    </row>
    <row r="86" ht="13.5" customHeight="1">
      <c r="A86" s="1"/>
      <c r="B86" s="1" t="s">
        <v>46</v>
      </c>
      <c r="C86" s="1" t="s">
        <v>47</v>
      </c>
      <c r="D86" s="1"/>
      <c r="E86" s="1" t="s">
        <v>548</v>
      </c>
      <c r="F86" s="1"/>
      <c r="G86" s="1" t="s">
        <v>49</v>
      </c>
      <c r="H86" s="1" t="s">
        <v>93</v>
      </c>
      <c r="I86" s="1">
        <v>6000.0</v>
      </c>
      <c r="J86" s="1"/>
      <c r="K86" s="1"/>
      <c r="L86" s="1"/>
      <c r="M86" s="1" t="s">
        <v>549</v>
      </c>
      <c r="N86" s="1" t="s">
        <v>212</v>
      </c>
      <c r="O86" s="1" t="s">
        <v>213</v>
      </c>
      <c r="P86" s="2">
        <v>43819.6260648148</v>
      </c>
      <c r="Q86" s="1" t="s">
        <v>74</v>
      </c>
      <c r="R86" s="3">
        <v>43819.0</v>
      </c>
      <c r="S86" s="1"/>
      <c r="T86" s="1">
        <v>5106109.0</v>
      </c>
      <c r="U86" s="1" t="s">
        <v>214</v>
      </c>
      <c r="V86" s="1" t="s">
        <v>164</v>
      </c>
      <c r="W86" s="1" t="s">
        <v>127</v>
      </c>
      <c r="X86" s="1"/>
      <c r="Y86" s="1"/>
      <c r="Z86" s="1" t="s">
        <v>215</v>
      </c>
      <c r="AA86" s="1" t="s">
        <v>550</v>
      </c>
      <c r="AB86" s="1" t="str">
        <f>"***610881**"</f>
        <v>***610881**</v>
      </c>
      <c r="AC86" s="1"/>
      <c r="AD86" s="1" t="s">
        <v>149</v>
      </c>
      <c r="AE86" s="1"/>
      <c r="AF86" s="1">
        <v>-56.55389</v>
      </c>
      <c r="AG86" s="1">
        <v>-15.933888</v>
      </c>
      <c r="AH86" s="1" t="s">
        <v>551</v>
      </c>
      <c r="AI86" s="1"/>
      <c r="AJ86" s="1" t="s">
        <v>167</v>
      </c>
      <c r="AK86" s="1"/>
      <c r="AL86" s="1"/>
      <c r="AM86" s="1" t="s">
        <v>65</v>
      </c>
      <c r="AN86" s="1" t="s">
        <v>168</v>
      </c>
      <c r="AO86" s="1"/>
      <c r="AP86" s="2">
        <v>43819.6430555556</v>
      </c>
      <c r="AQ86" s="1"/>
      <c r="AR86" s="1" t="s">
        <v>218</v>
      </c>
      <c r="AS86" s="1"/>
      <c r="AT86" s="2">
        <v>44269.931099537</v>
      </c>
    </row>
    <row r="87" ht="13.5" customHeight="1">
      <c r="A87" s="1">
        <v>2037680.0</v>
      </c>
      <c r="B87" s="1" t="s">
        <v>67</v>
      </c>
      <c r="C87" s="1" t="s">
        <v>68</v>
      </c>
      <c r="D87" s="1" t="s">
        <v>46</v>
      </c>
      <c r="E87" s="1" t="s">
        <v>552</v>
      </c>
      <c r="F87" s="1"/>
      <c r="G87" s="1" t="s">
        <v>70</v>
      </c>
      <c r="H87" s="1" t="s">
        <v>93</v>
      </c>
      <c r="I87" s="1">
        <v>1300.0</v>
      </c>
      <c r="J87" s="1"/>
      <c r="K87" s="1"/>
      <c r="L87" s="1" t="s">
        <v>101</v>
      </c>
      <c r="M87" s="1" t="s">
        <v>553</v>
      </c>
      <c r="N87" s="1" t="s">
        <v>108</v>
      </c>
      <c r="O87" s="1" t="s">
        <v>109</v>
      </c>
      <c r="P87" s="2">
        <v>43819.5833333333</v>
      </c>
      <c r="Q87" s="1" t="s">
        <v>74</v>
      </c>
      <c r="R87" s="3">
        <v>43818.0</v>
      </c>
      <c r="S87" s="1"/>
      <c r="T87" s="1">
        <v>3509502.0</v>
      </c>
      <c r="U87" s="1" t="s">
        <v>97</v>
      </c>
      <c r="V87" s="1" t="s">
        <v>58</v>
      </c>
      <c r="W87" s="1" t="s">
        <v>59</v>
      </c>
      <c r="X87" s="1"/>
      <c r="Y87" s="1" t="str">
        <f>"02285000904201930"</f>
        <v>02285000904201930</v>
      </c>
      <c r="Z87" s="1" t="s">
        <v>226</v>
      </c>
      <c r="AA87" s="1" t="s">
        <v>554</v>
      </c>
      <c r="AB87" s="1" t="str">
        <f>"27276855000104"</f>
        <v>27276855000104</v>
      </c>
      <c r="AC87" s="1"/>
      <c r="AD87" s="1" t="s">
        <v>116</v>
      </c>
      <c r="AE87" s="1"/>
      <c r="AF87" s="1">
        <v>-47.144167</v>
      </c>
      <c r="AG87" s="1">
        <v>-23.007778</v>
      </c>
      <c r="AH87" s="1" t="s">
        <v>555</v>
      </c>
      <c r="AI87" s="1"/>
      <c r="AJ87" s="1" t="s">
        <v>101</v>
      </c>
      <c r="AK87" s="1" t="s">
        <v>556</v>
      </c>
      <c r="AL87" s="1" t="s">
        <v>79</v>
      </c>
      <c r="AM87" s="1" t="s">
        <v>65</v>
      </c>
      <c r="AN87" s="1" t="s">
        <v>102</v>
      </c>
      <c r="AO87" s="2">
        <v>44006.0</v>
      </c>
      <c r="AP87" s="2">
        <v>44014.4928935185</v>
      </c>
      <c r="AQ87" s="1" t="s">
        <v>80</v>
      </c>
      <c r="AR87" s="1" t="s">
        <v>557</v>
      </c>
      <c r="AS87" s="1"/>
      <c r="AT87" s="2">
        <v>44269.931099537</v>
      </c>
    </row>
    <row r="88" ht="13.5" customHeight="1">
      <c r="A88" s="1"/>
      <c r="B88" s="1" t="s">
        <v>46</v>
      </c>
      <c r="C88" s="1" t="s">
        <v>47</v>
      </c>
      <c r="D88" s="1"/>
      <c r="E88" s="1" t="s">
        <v>558</v>
      </c>
      <c r="F88" s="1"/>
      <c r="G88" s="1" t="s">
        <v>49</v>
      </c>
      <c r="H88" s="1" t="s">
        <v>93</v>
      </c>
      <c r="I88" s="1">
        <v>9228.1</v>
      </c>
      <c r="J88" s="1"/>
      <c r="K88" s="1"/>
      <c r="L88" s="1"/>
      <c r="M88" s="1" t="s">
        <v>559</v>
      </c>
      <c r="N88" s="1" t="s">
        <v>142</v>
      </c>
      <c r="O88" s="1" t="s">
        <v>143</v>
      </c>
      <c r="P88" s="2">
        <v>43819.547337963</v>
      </c>
      <c r="Q88" s="1" t="s">
        <v>373</v>
      </c>
      <c r="R88" s="1"/>
      <c r="S88" s="1"/>
      <c r="T88" s="1">
        <v>4107652.0</v>
      </c>
      <c r="U88" s="1" t="s">
        <v>411</v>
      </c>
      <c r="V88" s="1" t="s">
        <v>176</v>
      </c>
      <c r="W88" s="1" t="s">
        <v>177</v>
      </c>
      <c r="X88" s="1"/>
      <c r="Y88" s="1"/>
      <c r="Z88" s="1" t="s">
        <v>147</v>
      </c>
      <c r="AA88" s="1" t="s">
        <v>560</v>
      </c>
      <c r="AB88" s="1" t="str">
        <f>"22435968000264"</f>
        <v>22435968000264</v>
      </c>
      <c r="AC88" s="1"/>
      <c r="AD88" s="1" t="s">
        <v>149</v>
      </c>
      <c r="AE88" s="1"/>
      <c r="AF88" s="1">
        <v>-49.323608</v>
      </c>
      <c r="AG88" s="1">
        <v>-25.695833</v>
      </c>
      <c r="AH88" s="1" t="s">
        <v>561</v>
      </c>
      <c r="AI88" s="1"/>
      <c r="AJ88" s="1" t="s">
        <v>358</v>
      </c>
      <c r="AK88" s="1"/>
      <c r="AL88" s="1"/>
      <c r="AM88" s="1" t="s">
        <v>65</v>
      </c>
      <c r="AN88" s="1" t="s">
        <v>562</v>
      </c>
      <c r="AO88" s="1"/>
      <c r="AP88" s="2">
        <v>43819.5693518519</v>
      </c>
      <c r="AQ88" s="1"/>
      <c r="AR88" s="1" t="s">
        <v>280</v>
      </c>
      <c r="AS88" s="1"/>
      <c r="AT88" s="2">
        <v>44269.931099537</v>
      </c>
    </row>
    <row r="89" ht="13.5" customHeight="1">
      <c r="A89" s="1"/>
      <c r="B89" s="1" t="s">
        <v>46</v>
      </c>
      <c r="C89" s="1" t="s">
        <v>47</v>
      </c>
      <c r="D89" s="1"/>
      <c r="E89" s="1" t="s">
        <v>563</v>
      </c>
      <c r="F89" s="1"/>
      <c r="G89" s="1" t="s">
        <v>49</v>
      </c>
      <c r="H89" s="1" t="s">
        <v>50</v>
      </c>
      <c r="I89" s="1">
        <v>11500.0</v>
      </c>
      <c r="J89" s="1"/>
      <c r="K89" s="1"/>
      <c r="L89" s="1"/>
      <c r="M89" s="1" t="s">
        <v>564</v>
      </c>
      <c r="N89" s="1" t="s">
        <v>123</v>
      </c>
      <c r="O89" s="1" t="s">
        <v>73</v>
      </c>
      <c r="P89" s="2">
        <v>43819.5443518519</v>
      </c>
      <c r="Q89" s="1" t="s">
        <v>74</v>
      </c>
      <c r="R89" s="3">
        <v>43819.0</v>
      </c>
      <c r="S89" s="1"/>
      <c r="T89" s="1">
        <v>2803500.0</v>
      </c>
      <c r="U89" s="1" t="s">
        <v>565</v>
      </c>
      <c r="V89" s="1" t="s">
        <v>566</v>
      </c>
      <c r="W89" s="1" t="s">
        <v>59</v>
      </c>
      <c r="X89" s="1"/>
      <c r="Y89" s="1"/>
      <c r="Z89" s="1" t="s">
        <v>76</v>
      </c>
      <c r="AA89" s="1" t="s">
        <v>567</v>
      </c>
      <c r="AB89" s="1" t="str">
        <f>"***834995**"</f>
        <v>***834995**</v>
      </c>
      <c r="AC89" s="1"/>
      <c r="AD89" s="1" t="s">
        <v>62</v>
      </c>
      <c r="AE89" s="1"/>
      <c r="AF89" s="1">
        <v>-37.800003</v>
      </c>
      <c r="AG89" s="1">
        <v>-11.014166</v>
      </c>
      <c r="AH89" s="1" t="s">
        <v>568</v>
      </c>
      <c r="AI89" s="1"/>
      <c r="AJ89" s="1" t="s">
        <v>569</v>
      </c>
      <c r="AK89" s="1"/>
      <c r="AL89" s="1"/>
      <c r="AM89" s="1" t="s">
        <v>65</v>
      </c>
      <c r="AN89" s="1" t="s">
        <v>570</v>
      </c>
      <c r="AO89" s="1"/>
      <c r="AP89" s="2">
        <v>44230.6947685185</v>
      </c>
      <c r="AQ89" s="1"/>
      <c r="AR89" s="1" t="s">
        <v>153</v>
      </c>
      <c r="AS89" s="1" t="s">
        <v>571</v>
      </c>
      <c r="AT89" s="2">
        <v>44269.931099537</v>
      </c>
    </row>
    <row r="90" ht="13.5" customHeight="1">
      <c r="A90" s="1">
        <v>2038279.0</v>
      </c>
      <c r="B90" s="1" t="s">
        <v>67</v>
      </c>
      <c r="C90" s="1" t="s">
        <v>68</v>
      </c>
      <c r="D90" s="1" t="s">
        <v>46</v>
      </c>
      <c r="E90" s="1" t="s">
        <v>572</v>
      </c>
      <c r="F90" s="1"/>
      <c r="G90" s="1" t="s">
        <v>70</v>
      </c>
      <c r="H90" s="1" t="s">
        <v>93</v>
      </c>
      <c r="I90" s="1">
        <v>20724.0</v>
      </c>
      <c r="J90" s="1"/>
      <c r="K90" s="1"/>
      <c r="L90" s="1" t="s">
        <v>172</v>
      </c>
      <c r="M90" s="1" t="s">
        <v>573</v>
      </c>
      <c r="N90" s="1" t="s">
        <v>142</v>
      </c>
      <c r="O90" s="1" t="s">
        <v>143</v>
      </c>
      <c r="P90" s="2">
        <v>43819.5416666667</v>
      </c>
      <c r="Q90" s="1" t="s">
        <v>373</v>
      </c>
      <c r="R90" s="3">
        <v>43819.0</v>
      </c>
      <c r="S90" s="1"/>
      <c r="T90" s="1">
        <v>1400472.0</v>
      </c>
      <c r="U90" s="1" t="s">
        <v>574</v>
      </c>
      <c r="V90" s="1" t="s">
        <v>186</v>
      </c>
      <c r="W90" s="1" t="s">
        <v>177</v>
      </c>
      <c r="X90" s="1"/>
      <c r="Y90" s="1" t="str">
        <f>"02001003067202073"</f>
        <v>02001003067202073</v>
      </c>
      <c r="Z90" s="1" t="s">
        <v>147</v>
      </c>
      <c r="AA90" s="1" t="s">
        <v>575</v>
      </c>
      <c r="AB90" s="1" t="str">
        <f>"18484127000199"</f>
        <v>18484127000199</v>
      </c>
      <c r="AC90" s="1"/>
      <c r="AD90" s="1"/>
      <c r="AE90" s="1"/>
      <c r="AF90" s="1">
        <v>-60.405003</v>
      </c>
      <c r="AG90" s="1">
        <v>0.971667</v>
      </c>
      <c r="AH90" s="1" t="s">
        <v>576</v>
      </c>
      <c r="AI90" s="1"/>
      <c r="AJ90" s="1" t="s">
        <v>172</v>
      </c>
      <c r="AK90" s="1"/>
      <c r="AL90" s="1" t="s">
        <v>79</v>
      </c>
      <c r="AM90" s="1" t="s">
        <v>65</v>
      </c>
      <c r="AN90" s="1" t="s">
        <v>180</v>
      </c>
      <c r="AO90" s="2">
        <v>44028.0</v>
      </c>
      <c r="AP90" s="2">
        <v>44028.6892824074</v>
      </c>
      <c r="AQ90" s="1" t="s">
        <v>80</v>
      </c>
      <c r="AR90" s="1" t="s">
        <v>577</v>
      </c>
      <c r="AS90" s="1" t="s">
        <v>578</v>
      </c>
      <c r="AT90" s="2">
        <v>44269.931099537</v>
      </c>
    </row>
    <row r="91" ht="13.5" customHeight="1">
      <c r="A91" s="1">
        <v>2038003.0</v>
      </c>
      <c r="B91" s="1" t="s">
        <v>67</v>
      </c>
      <c r="C91" s="1" t="s">
        <v>68</v>
      </c>
      <c r="D91" s="1" t="s">
        <v>46</v>
      </c>
      <c r="E91" s="1" t="s">
        <v>579</v>
      </c>
      <c r="F91" s="1"/>
      <c r="G91" s="1" t="s">
        <v>70</v>
      </c>
      <c r="H91" s="1" t="s">
        <v>93</v>
      </c>
      <c r="I91" s="1">
        <v>11500.0</v>
      </c>
      <c r="J91" s="1"/>
      <c r="K91" s="1"/>
      <c r="L91" s="1" t="s">
        <v>569</v>
      </c>
      <c r="M91" s="1" t="s">
        <v>580</v>
      </c>
      <c r="N91" s="1" t="s">
        <v>72</v>
      </c>
      <c r="O91" s="1" t="s">
        <v>73</v>
      </c>
      <c r="P91" s="2">
        <v>43819.5</v>
      </c>
      <c r="Q91" s="1" t="s">
        <v>74</v>
      </c>
      <c r="R91" s="3">
        <v>43818.0</v>
      </c>
      <c r="S91" s="1"/>
      <c r="T91" s="1">
        <v>2803500.0</v>
      </c>
      <c r="U91" s="1" t="s">
        <v>565</v>
      </c>
      <c r="V91" s="1" t="s">
        <v>566</v>
      </c>
      <c r="W91" s="1" t="s">
        <v>59</v>
      </c>
      <c r="X91" s="1"/>
      <c r="Y91" s="1" t="str">
        <f>"02028001778201971"</f>
        <v>02028001778201971</v>
      </c>
      <c r="Z91" s="1" t="s">
        <v>76</v>
      </c>
      <c r="AA91" s="1" t="s">
        <v>567</v>
      </c>
      <c r="AB91" s="1" t="str">
        <f>"***834995**"</f>
        <v>***834995**</v>
      </c>
      <c r="AC91" s="1"/>
      <c r="AD91" s="1"/>
      <c r="AE91" s="1"/>
      <c r="AF91" s="1">
        <v>-37.800003</v>
      </c>
      <c r="AG91" s="1">
        <v>-11.014166</v>
      </c>
      <c r="AH91" s="1" t="s">
        <v>581</v>
      </c>
      <c r="AI91" s="1"/>
      <c r="AJ91" s="1" t="s">
        <v>569</v>
      </c>
      <c r="AK91" s="1"/>
      <c r="AL91" s="1" t="s">
        <v>79</v>
      </c>
      <c r="AM91" s="1" t="s">
        <v>65</v>
      </c>
      <c r="AN91" s="1" t="s">
        <v>570</v>
      </c>
      <c r="AO91" s="2">
        <v>44018.0</v>
      </c>
      <c r="AP91" s="2">
        <v>44018.6757523148</v>
      </c>
      <c r="AQ91" s="1" t="s">
        <v>80</v>
      </c>
      <c r="AR91" s="1" t="s">
        <v>81</v>
      </c>
      <c r="AS91" s="1" t="s">
        <v>582</v>
      </c>
      <c r="AT91" s="2">
        <v>44269.931099537</v>
      </c>
    </row>
    <row r="92" ht="13.5" customHeight="1">
      <c r="A92" s="1">
        <v>2038280.0</v>
      </c>
      <c r="B92" s="1" t="s">
        <v>67</v>
      </c>
      <c r="C92" s="1" t="s">
        <v>68</v>
      </c>
      <c r="D92" s="1" t="s">
        <v>46</v>
      </c>
      <c r="E92" s="1" t="s">
        <v>583</v>
      </c>
      <c r="F92" s="1"/>
      <c r="G92" s="1" t="s">
        <v>70</v>
      </c>
      <c r="H92" s="1" t="s">
        <v>93</v>
      </c>
      <c r="I92" s="1">
        <v>111500.0</v>
      </c>
      <c r="J92" s="1"/>
      <c r="K92" s="1"/>
      <c r="L92" s="1" t="s">
        <v>172</v>
      </c>
      <c r="M92" s="1" t="s">
        <v>584</v>
      </c>
      <c r="N92" s="1" t="s">
        <v>72</v>
      </c>
      <c r="O92" s="1" t="s">
        <v>73</v>
      </c>
      <c r="P92" s="2">
        <v>43819.5</v>
      </c>
      <c r="Q92" s="1" t="s">
        <v>373</v>
      </c>
      <c r="R92" s="3">
        <v>43819.0</v>
      </c>
      <c r="S92" s="1"/>
      <c r="T92" s="1">
        <v>1400472.0</v>
      </c>
      <c r="U92" s="1" t="s">
        <v>574</v>
      </c>
      <c r="V92" s="1" t="s">
        <v>186</v>
      </c>
      <c r="W92" s="1" t="s">
        <v>177</v>
      </c>
      <c r="X92" s="1"/>
      <c r="Y92" s="1" t="str">
        <f>"02001003069202062"</f>
        <v>02001003069202062</v>
      </c>
      <c r="Z92" s="1" t="s">
        <v>76</v>
      </c>
      <c r="AA92" s="1" t="s">
        <v>575</v>
      </c>
      <c r="AB92" s="1" t="str">
        <f>"18484127000199"</f>
        <v>18484127000199</v>
      </c>
      <c r="AC92" s="1"/>
      <c r="AD92" s="1"/>
      <c r="AE92" s="1"/>
      <c r="AF92" s="1">
        <v>-60.405003</v>
      </c>
      <c r="AG92" s="1">
        <v>0.971667</v>
      </c>
      <c r="AH92" s="1" t="s">
        <v>576</v>
      </c>
      <c r="AI92" s="1"/>
      <c r="AJ92" s="1" t="s">
        <v>172</v>
      </c>
      <c r="AK92" s="1"/>
      <c r="AL92" s="1" t="s">
        <v>79</v>
      </c>
      <c r="AM92" s="1" t="s">
        <v>65</v>
      </c>
      <c r="AN92" s="1" t="s">
        <v>180</v>
      </c>
      <c r="AO92" s="2">
        <v>44028.0</v>
      </c>
      <c r="AP92" s="2">
        <v>44028.6917476852</v>
      </c>
      <c r="AQ92" s="1" t="s">
        <v>80</v>
      </c>
      <c r="AR92" s="1" t="s">
        <v>462</v>
      </c>
      <c r="AS92" s="1" t="s">
        <v>585</v>
      </c>
      <c r="AT92" s="2">
        <v>44269.931099537</v>
      </c>
    </row>
    <row r="93" ht="13.5" customHeight="1">
      <c r="A93" s="1">
        <v>2038807.0</v>
      </c>
      <c r="B93" s="1" t="s">
        <v>67</v>
      </c>
      <c r="C93" s="1" t="s">
        <v>68</v>
      </c>
      <c r="D93" s="1" t="s">
        <v>46</v>
      </c>
      <c r="E93" s="1" t="s">
        <v>586</v>
      </c>
      <c r="F93" s="1"/>
      <c r="G93" s="1" t="s">
        <v>70</v>
      </c>
      <c r="H93" s="1" t="s">
        <v>50</v>
      </c>
      <c r="I93" s="1">
        <v>1500.0</v>
      </c>
      <c r="J93" s="1"/>
      <c r="K93" s="1"/>
      <c r="L93" s="1" t="s">
        <v>587</v>
      </c>
      <c r="M93" s="1" t="s">
        <v>588</v>
      </c>
      <c r="N93" s="1" t="s">
        <v>95</v>
      </c>
      <c r="O93" s="1" t="s">
        <v>96</v>
      </c>
      <c r="P93" s="2">
        <v>43819.5</v>
      </c>
      <c r="Q93" s="1" t="s">
        <v>74</v>
      </c>
      <c r="R93" s="1"/>
      <c r="S93" s="1"/>
      <c r="T93" s="1">
        <v>3169703.0</v>
      </c>
      <c r="U93" s="1" t="s">
        <v>589</v>
      </c>
      <c r="V93" s="1" t="s">
        <v>126</v>
      </c>
      <c r="W93" s="1" t="s">
        <v>127</v>
      </c>
      <c r="X93" s="1"/>
      <c r="Y93" s="1" t="str">
        <f>"02566000015202050"</f>
        <v>02566000015202050</v>
      </c>
      <c r="Z93" s="1" t="s">
        <v>98</v>
      </c>
      <c r="AA93" s="1" t="s">
        <v>590</v>
      </c>
      <c r="AB93" s="1" t="str">
        <f>"***692406**"</f>
        <v>***692406**</v>
      </c>
      <c r="AC93" s="1"/>
      <c r="AD93" s="1"/>
      <c r="AE93" s="1"/>
      <c r="AF93" s="1">
        <v>-42.709167</v>
      </c>
      <c r="AG93" s="1">
        <v>-17.289999</v>
      </c>
      <c r="AH93" s="1" t="s">
        <v>591</v>
      </c>
      <c r="AI93" s="1"/>
      <c r="AJ93" s="1" t="s">
        <v>587</v>
      </c>
      <c r="AK93" s="1"/>
      <c r="AL93" s="1" t="s">
        <v>79</v>
      </c>
      <c r="AM93" s="1" t="s">
        <v>65</v>
      </c>
      <c r="AN93" s="1" t="s">
        <v>592</v>
      </c>
      <c r="AO93" s="2">
        <v>44046.0</v>
      </c>
      <c r="AP93" s="2">
        <v>44046.672337963</v>
      </c>
      <c r="AQ93" s="1" t="s">
        <v>80</v>
      </c>
      <c r="AR93" s="1" t="s">
        <v>593</v>
      </c>
      <c r="AS93" s="1"/>
      <c r="AT93" s="2">
        <v>44269.931099537</v>
      </c>
    </row>
    <row r="94" ht="13.5" customHeight="1">
      <c r="A94" s="1">
        <v>2043626.0</v>
      </c>
      <c r="B94" s="1" t="s">
        <v>67</v>
      </c>
      <c r="C94" s="1" t="s">
        <v>68</v>
      </c>
      <c r="D94" s="1" t="s">
        <v>46</v>
      </c>
      <c r="E94" s="1" t="s">
        <v>594</v>
      </c>
      <c r="F94" s="1"/>
      <c r="G94" s="1" t="s">
        <v>70</v>
      </c>
      <c r="H94" s="1" t="s">
        <v>93</v>
      </c>
      <c r="I94" s="1">
        <v>2000.0</v>
      </c>
      <c r="J94" s="1"/>
      <c r="K94" s="1"/>
      <c r="L94" s="1" t="s">
        <v>64</v>
      </c>
      <c r="M94" s="1" t="s">
        <v>595</v>
      </c>
      <c r="N94" s="1" t="s">
        <v>95</v>
      </c>
      <c r="O94" s="1" t="s">
        <v>96</v>
      </c>
      <c r="P94" s="2">
        <v>43819.5</v>
      </c>
      <c r="Q94" s="1" t="s">
        <v>373</v>
      </c>
      <c r="R94" s="3">
        <v>43819.0</v>
      </c>
      <c r="S94" s="1"/>
      <c r="T94" s="1">
        <v>3511102.0</v>
      </c>
      <c r="U94" s="1" t="s">
        <v>596</v>
      </c>
      <c r="V94" s="1" t="s">
        <v>58</v>
      </c>
      <c r="W94" s="1" t="s">
        <v>59</v>
      </c>
      <c r="X94" s="1"/>
      <c r="Y94" s="1" t="str">
        <f>"02027000090202018"</f>
        <v>02027000090202018</v>
      </c>
      <c r="Z94" s="1" t="s">
        <v>98</v>
      </c>
      <c r="AA94" s="1" t="s">
        <v>597</v>
      </c>
      <c r="AB94" s="1" t="str">
        <f>"***615978**"</f>
        <v>***615978**</v>
      </c>
      <c r="AC94" s="1"/>
      <c r="AD94" s="1"/>
      <c r="AE94" s="1"/>
      <c r="AF94" s="1">
        <v>-48.997807</v>
      </c>
      <c r="AG94" s="1">
        <v>-21.146723</v>
      </c>
      <c r="AH94" s="1" t="s">
        <v>598</v>
      </c>
      <c r="AI94" s="1"/>
      <c r="AJ94" s="1" t="s">
        <v>64</v>
      </c>
      <c r="AK94" s="1"/>
      <c r="AL94" s="1" t="s">
        <v>79</v>
      </c>
      <c r="AM94" s="1" t="s">
        <v>65</v>
      </c>
      <c r="AN94" s="1"/>
      <c r="AO94" s="2">
        <v>44245.0</v>
      </c>
      <c r="AP94" s="2">
        <v>44245.8464351852</v>
      </c>
      <c r="AQ94" s="1" t="s">
        <v>80</v>
      </c>
      <c r="AR94" s="1" t="s">
        <v>599</v>
      </c>
      <c r="AS94" s="1"/>
      <c r="AT94" s="2">
        <v>44269.931099537</v>
      </c>
    </row>
    <row r="95" ht="13.5" customHeight="1">
      <c r="A95" s="1"/>
      <c r="B95" s="1" t="s">
        <v>46</v>
      </c>
      <c r="C95" s="1" t="s">
        <v>47</v>
      </c>
      <c r="D95" s="1"/>
      <c r="E95" s="1" t="s">
        <v>600</v>
      </c>
      <c r="F95" s="1"/>
      <c r="G95" s="1" t="s">
        <v>49</v>
      </c>
      <c r="H95" s="1" t="s">
        <v>93</v>
      </c>
      <c r="I95" s="1">
        <v>9915.0</v>
      </c>
      <c r="J95" s="1"/>
      <c r="K95" s="1"/>
      <c r="L95" s="1"/>
      <c r="M95" s="1" t="s">
        <v>601</v>
      </c>
      <c r="N95" s="1" t="s">
        <v>142</v>
      </c>
      <c r="O95" s="1" t="s">
        <v>143</v>
      </c>
      <c r="P95" s="2">
        <v>43819.4865509259</v>
      </c>
      <c r="Q95" s="1" t="s">
        <v>74</v>
      </c>
      <c r="R95" s="3">
        <v>43819.0</v>
      </c>
      <c r="S95" s="1"/>
      <c r="T95" s="1">
        <v>2803500.0</v>
      </c>
      <c r="U95" s="1" t="s">
        <v>565</v>
      </c>
      <c r="V95" s="1" t="s">
        <v>566</v>
      </c>
      <c r="W95" s="1" t="s">
        <v>59</v>
      </c>
      <c r="X95" s="1"/>
      <c r="Y95" s="1"/>
      <c r="Z95" s="1" t="s">
        <v>147</v>
      </c>
      <c r="AA95" s="1" t="s">
        <v>567</v>
      </c>
      <c r="AB95" s="1" t="str">
        <f>"***834995**"</f>
        <v>***834995**</v>
      </c>
      <c r="AC95" s="1"/>
      <c r="AD95" s="1" t="s">
        <v>62</v>
      </c>
      <c r="AE95" s="1"/>
      <c r="AF95" s="1">
        <v>-37.800003</v>
      </c>
      <c r="AG95" s="1">
        <v>-11.014166</v>
      </c>
      <c r="AH95" s="1" t="s">
        <v>602</v>
      </c>
      <c r="AI95" s="1"/>
      <c r="AJ95" s="1" t="s">
        <v>569</v>
      </c>
      <c r="AK95" s="1"/>
      <c r="AL95" s="1"/>
      <c r="AM95" s="1" t="s">
        <v>65</v>
      </c>
      <c r="AN95" s="1" t="s">
        <v>570</v>
      </c>
      <c r="AO95" s="1"/>
      <c r="AP95" s="2">
        <v>44230.6948726852</v>
      </c>
      <c r="AQ95" s="1"/>
      <c r="AR95" s="1" t="s">
        <v>603</v>
      </c>
      <c r="AS95" s="1" t="s">
        <v>604</v>
      </c>
      <c r="AT95" s="2">
        <v>44269.931099537</v>
      </c>
    </row>
    <row r="96" ht="13.5" customHeight="1">
      <c r="A96" s="1"/>
      <c r="B96" s="1" t="s">
        <v>46</v>
      </c>
      <c r="C96" s="1" t="s">
        <v>47</v>
      </c>
      <c r="D96" s="1"/>
      <c r="E96" s="1" t="s">
        <v>605</v>
      </c>
      <c r="F96" s="1"/>
      <c r="G96" s="1" t="s">
        <v>49</v>
      </c>
      <c r="H96" s="1" t="s">
        <v>50</v>
      </c>
      <c r="I96" s="1">
        <v>1500.0</v>
      </c>
      <c r="J96" s="1"/>
      <c r="K96" s="1" t="s">
        <v>51</v>
      </c>
      <c r="L96" s="1"/>
      <c r="M96" s="1" t="s">
        <v>606</v>
      </c>
      <c r="N96" s="1" t="s">
        <v>123</v>
      </c>
      <c r="O96" s="1" t="s">
        <v>73</v>
      </c>
      <c r="P96" s="2">
        <v>43819.4762847222</v>
      </c>
      <c r="Q96" s="1" t="s">
        <v>74</v>
      </c>
      <c r="R96" s="3">
        <v>43819.0</v>
      </c>
      <c r="S96" s="1"/>
      <c r="T96" s="1">
        <v>3550308.0</v>
      </c>
      <c r="U96" s="1" t="s">
        <v>607</v>
      </c>
      <c r="V96" s="1" t="s">
        <v>58</v>
      </c>
      <c r="W96" s="1" t="s">
        <v>59</v>
      </c>
      <c r="X96" s="1"/>
      <c r="Y96" s="1"/>
      <c r="Z96" s="1" t="s">
        <v>76</v>
      </c>
      <c r="AA96" s="1" t="s">
        <v>608</v>
      </c>
      <c r="AB96" s="1" t="str">
        <f>"***666128**"</f>
        <v>***666128**</v>
      </c>
      <c r="AC96" s="1"/>
      <c r="AD96" s="1" t="s">
        <v>149</v>
      </c>
      <c r="AE96" s="1"/>
      <c r="AF96" s="1">
        <v>-46.668611</v>
      </c>
      <c r="AG96" s="1">
        <v>-23.559722</v>
      </c>
      <c r="AH96" s="1" t="s">
        <v>609</v>
      </c>
      <c r="AI96" s="1"/>
      <c r="AJ96" s="1" t="s">
        <v>64</v>
      </c>
      <c r="AK96" s="1"/>
      <c r="AL96" s="1"/>
      <c r="AM96" s="1" t="s">
        <v>65</v>
      </c>
      <c r="AN96" s="1"/>
      <c r="AO96" s="1"/>
      <c r="AP96" s="2">
        <v>44251.7990277778</v>
      </c>
      <c r="AQ96" s="1"/>
      <c r="AR96" s="1" t="s">
        <v>396</v>
      </c>
      <c r="AS96" s="1" t="s">
        <v>82</v>
      </c>
      <c r="AT96" s="2">
        <v>44269.931099537</v>
      </c>
    </row>
    <row r="97" ht="13.5" customHeight="1">
      <c r="A97" s="1"/>
      <c r="B97" s="1" t="s">
        <v>46</v>
      </c>
      <c r="C97" s="1" t="s">
        <v>47</v>
      </c>
      <c r="D97" s="1"/>
      <c r="E97" s="1" t="s">
        <v>610</v>
      </c>
      <c r="F97" s="1"/>
      <c r="G97" s="1" t="s">
        <v>49</v>
      </c>
      <c r="H97" s="1" t="s">
        <v>93</v>
      </c>
      <c r="I97" s="1">
        <v>5149.2</v>
      </c>
      <c r="J97" s="1"/>
      <c r="K97" s="1"/>
      <c r="L97" s="1"/>
      <c r="M97" s="1" t="s">
        <v>611</v>
      </c>
      <c r="N97" s="1" t="s">
        <v>142</v>
      </c>
      <c r="O97" s="1" t="s">
        <v>143</v>
      </c>
      <c r="P97" s="2">
        <v>43819.4483796296</v>
      </c>
      <c r="Q97" s="1" t="s">
        <v>74</v>
      </c>
      <c r="R97" s="3">
        <v>43819.0</v>
      </c>
      <c r="S97" s="1"/>
      <c r="T97" s="1">
        <v>2803500.0</v>
      </c>
      <c r="U97" s="1" t="s">
        <v>565</v>
      </c>
      <c r="V97" s="1" t="s">
        <v>566</v>
      </c>
      <c r="W97" s="1" t="s">
        <v>59</v>
      </c>
      <c r="X97" s="1"/>
      <c r="Y97" s="1"/>
      <c r="Z97" s="1" t="s">
        <v>147</v>
      </c>
      <c r="AA97" s="1" t="s">
        <v>567</v>
      </c>
      <c r="AB97" s="1" t="str">
        <f>"***834995**"</f>
        <v>***834995**</v>
      </c>
      <c r="AC97" s="1"/>
      <c r="AD97" s="1" t="s">
        <v>62</v>
      </c>
      <c r="AE97" s="1"/>
      <c r="AF97" s="1">
        <v>-37.800003</v>
      </c>
      <c r="AG97" s="1">
        <v>-11.014166</v>
      </c>
      <c r="AH97" s="1" t="s">
        <v>612</v>
      </c>
      <c r="AI97" s="1"/>
      <c r="AJ97" s="1" t="s">
        <v>569</v>
      </c>
      <c r="AK97" s="1"/>
      <c r="AL97" s="1"/>
      <c r="AM97" s="1" t="s">
        <v>65</v>
      </c>
      <c r="AN97" s="1" t="s">
        <v>570</v>
      </c>
      <c r="AO97" s="1"/>
      <c r="AP97" s="2">
        <v>44230.6950925926</v>
      </c>
      <c r="AQ97" s="1"/>
      <c r="AR97" s="1" t="s">
        <v>613</v>
      </c>
      <c r="AS97" s="1" t="s">
        <v>614</v>
      </c>
      <c r="AT97" s="2">
        <v>44269.931099537</v>
      </c>
    </row>
    <row r="98" ht="13.5" customHeight="1">
      <c r="A98" s="1"/>
      <c r="B98" s="1" t="s">
        <v>46</v>
      </c>
      <c r="C98" s="1" t="s">
        <v>47</v>
      </c>
      <c r="D98" s="1"/>
      <c r="E98" s="1" t="s">
        <v>615</v>
      </c>
      <c r="F98" s="1"/>
      <c r="G98" s="1" t="s">
        <v>49</v>
      </c>
      <c r="H98" s="1" t="s">
        <v>50</v>
      </c>
      <c r="I98" s="1">
        <v>1500.0</v>
      </c>
      <c r="J98" s="1"/>
      <c r="K98" s="1" t="s">
        <v>51</v>
      </c>
      <c r="L98" s="1"/>
      <c r="M98" s="1" t="s">
        <v>616</v>
      </c>
      <c r="N98" s="1" t="s">
        <v>123</v>
      </c>
      <c r="O98" s="1" t="s">
        <v>73</v>
      </c>
      <c r="P98" s="2">
        <v>43819.4428587963</v>
      </c>
      <c r="Q98" s="1" t="s">
        <v>74</v>
      </c>
      <c r="R98" s="3">
        <v>43819.0</v>
      </c>
      <c r="S98" s="1"/>
      <c r="T98" s="1">
        <v>3550308.0</v>
      </c>
      <c r="U98" s="1" t="s">
        <v>607</v>
      </c>
      <c r="V98" s="1" t="s">
        <v>58</v>
      </c>
      <c r="W98" s="1" t="s">
        <v>59</v>
      </c>
      <c r="X98" s="1"/>
      <c r="Y98" s="1"/>
      <c r="Z98" s="1" t="s">
        <v>76</v>
      </c>
      <c r="AA98" s="1" t="s">
        <v>617</v>
      </c>
      <c r="AB98" s="1" t="str">
        <f>"***186794**"</f>
        <v>***186794**</v>
      </c>
      <c r="AC98" s="1"/>
      <c r="AD98" s="1" t="s">
        <v>149</v>
      </c>
      <c r="AE98" s="1"/>
      <c r="AF98" s="1">
        <v>-46.668611</v>
      </c>
      <c r="AG98" s="1">
        <v>-23.559722</v>
      </c>
      <c r="AH98" s="1" t="s">
        <v>618</v>
      </c>
      <c r="AI98" s="1"/>
      <c r="AJ98" s="1" t="s">
        <v>64</v>
      </c>
      <c r="AK98" s="1"/>
      <c r="AL98" s="1"/>
      <c r="AM98" s="1" t="s">
        <v>65</v>
      </c>
      <c r="AN98" s="1"/>
      <c r="AO98" s="1"/>
      <c r="AP98" s="2">
        <v>44251.799212963</v>
      </c>
      <c r="AQ98" s="1"/>
      <c r="AR98" s="1" t="s">
        <v>396</v>
      </c>
      <c r="AS98" s="1" t="s">
        <v>82</v>
      </c>
      <c r="AT98" s="2">
        <v>44269.931099537</v>
      </c>
    </row>
    <row r="99" ht="13.5" customHeight="1">
      <c r="A99" s="1">
        <v>2034666.0</v>
      </c>
      <c r="B99" s="1" t="s">
        <v>67</v>
      </c>
      <c r="C99" s="1" t="s">
        <v>68</v>
      </c>
      <c r="D99" s="1" t="s">
        <v>46</v>
      </c>
      <c r="E99" s="1" t="s">
        <v>619</v>
      </c>
      <c r="F99" s="1"/>
      <c r="G99" s="1" t="s">
        <v>70</v>
      </c>
      <c r="H99" s="1" t="s">
        <v>93</v>
      </c>
      <c r="I99" s="1">
        <v>2893.5</v>
      </c>
      <c r="J99" s="1"/>
      <c r="K99" s="1"/>
      <c r="L99" s="1" t="s">
        <v>264</v>
      </c>
      <c r="M99" s="1" t="s">
        <v>620</v>
      </c>
      <c r="N99" s="1" t="s">
        <v>142</v>
      </c>
      <c r="O99" s="1" t="s">
        <v>143</v>
      </c>
      <c r="P99" s="2">
        <v>43819.2916666667</v>
      </c>
      <c r="Q99" s="1" t="s">
        <v>74</v>
      </c>
      <c r="R99" s="3">
        <v>43754.0</v>
      </c>
      <c r="S99" s="1"/>
      <c r="T99" s="1">
        <v>4215406.0</v>
      </c>
      <c r="U99" s="1" t="s">
        <v>621</v>
      </c>
      <c r="V99" s="1" t="s">
        <v>267</v>
      </c>
      <c r="W99" s="1" t="s">
        <v>59</v>
      </c>
      <c r="X99" s="1"/>
      <c r="Y99" s="1" t="str">
        <f>"02026004193201923"</f>
        <v>02026004193201923</v>
      </c>
      <c r="Z99" s="1" t="s">
        <v>147</v>
      </c>
      <c r="AA99" s="1" t="s">
        <v>622</v>
      </c>
      <c r="AB99" s="1" t="str">
        <f>"85101905000100"</f>
        <v>85101905000100</v>
      </c>
      <c r="AC99" s="1"/>
      <c r="AD99" s="1"/>
      <c r="AE99" s="1"/>
      <c r="AF99" s="1">
        <v>-51.406944</v>
      </c>
      <c r="AG99" s="1">
        <v>-26.910555</v>
      </c>
      <c r="AH99" s="1" t="s">
        <v>623</v>
      </c>
      <c r="AI99" s="1"/>
      <c r="AJ99" s="1" t="s">
        <v>264</v>
      </c>
      <c r="AK99" s="1"/>
      <c r="AL99" s="1" t="s">
        <v>79</v>
      </c>
      <c r="AM99" s="1" t="s">
        <v>65</v>
      </c>
      <c r="AN99" s="1" t="s">
        <v>624</v>
      </c>
      <c r="AO99" s="2">
        <v>43889.0</v>
      </c>
      <c r="AP99" s="2">
        <v>43889.5248148148</v>
      </c>
      <c r="AQ99" s="1" t="s">
        <v>80</v>
      </c>
      <c r="AR99" s="1" t="s">
        <v>625</v>
      </c>
      <c r="AS99" s="1" t="s">
        <v>626</v>
      </c>
      <c r="AT99" s="2">
        <v>44269.931099537</v>
      </c>
    </row>
    <row r="100" ht="13.5" customHeight="1">
      <c r="A100" s="1">
        <v>2034890.0</v>
      </c>
      <c r="B100" s="1" t="s">
        <v>67</v>
      </c>
      <c r="C100" s="1" t="s">
        <v>68</v>
      </c>
      <c r="D100" s="1" t="s">
        <v>46</v>
      </c>
      <c r="E100" s="1" t="s">
        <v>627</v>
      </c>
      <c r="F100" s="1"/>
      <c r="G100" s="1" t="s">
        <v>70</v>
      </c>
      <c r="H100" s="1" t="s">
        <v>93</v>
      </c>
      <c r="I100" s="1">
        <v>75000.0</v>
      </c>
      <c r="J100" s="1"/>
      <c r="K100" s="1"/>
      <c r="L100" s="1" t="s">
        <v>628</v>
      </c>
      <c r="M100" s="1" t="s">
        <v>629</v>
      </c>
      <c r="N100" s="1" t="s">
        <v>142</v>
      </c>
      <c r="O100" s="1" t="s">
        <v>143</v>
      </c>
      <c r="P100" s="2">
        <v>43819.2916666667</v>
      </c>
      <c r="Q100" s="1" t="s">
        <v>55</v>
      </c>
      <c r="R100" s="3">
        <v>43819.0</v>
      </c>
      <c r="S100" s="1" t="s">
        <v>630</v>
      </c>
      <c r="T100" s="1">
        <v>2921906.0</v>
      </c>
      <c r="U100" s="1" t="s">
        <v>631</v>
      </c>
      <c r="V100" s="1" t="s">
        <v>632</v>
      </c>
      <c r="W100" s="1" t="s">
        <v>59</v>
      </c>
      <c r="X100" s="1"/>
      <c r="Y100" s="1" t="str">
        <f>"02006000430202059"</f>
        <v>02006000430202059</v>
      </c>
      <c r="Z100" s="1" t="s">
        <v>147</v>
      </c>
      <c r="AA100" s="1" t="s">
        <v>633</v>
      </c>
      <c r="AB100" s="1" t="str">
        <f>"18949392000286"</f>
        <v>18949392000286</v>
      </c>
      <c r="AC100" s="1"/>
      <c r="AD100" s="1"/>
      <c r="AE100" s="1"/>
      <c r="AF100" s="1">
        <v>-41.342777</v>
      </c>
      <c r="AG100" s="1">
        <v>-13.202499</v>
      </c>
      <c r="AH100" s="1" t="s">
        <v>634</v>
      </c>
      <c r="AI100" s="1"/>
      <c r="AJ100" s="1" t="s">
        <v>628</v>
      </c>
      <c r="AK100" s="1"/>
      <c r="AL100" s="1" t="s">
        <v>79</v>
      </c>
      <c r="AM100" s="1" t="s">
        <v>65</v>
      </c>
      <c r="AN100" s="1" t="s">
        <v>635</v>
      </c>
      <c r="AO100" s="2">
        <v>43892.0</v>
      </c>
      <c r="AP100" s="2">
        <v>43892.6522916667</v>
      </c>
      <c r="AQ100" s="1" t="s">
        <v>80</v>
      </c>
      <c r="AR100" s="1" t="s">
        <v>636</v>
      </c>
      <c r="AS100" s="1" t="s">
        <v>637</v>
      </c>
      <c r="AT100" s="2">
        <v>44269.931099537</v>
      </c>
    </row>
    <row r="101" ht="13.5" customHeight="1">
      <c r="A101" s="1"/>
      <c r="B101" s="1" t="s">
        <v>46</v>
      </c>
      <c r="C101" s="1" t="s">
        <v>47</v>
      </c>
      <c r="D101" s="1"/>
      <c r="E101" s="1" t="s">
        <v>638</v>
      </c>
      <c r="F101" s="1"/>
      <c r="G101" s="1" t="s">
        <v>49</v>
      </c>
      <c r="H101" s="1" t="s">
        <v>93</v>
      </c>
      <c r="I101" s="1">
        <v>70000.0</v>
      </c>
      <c r="J101" s="1"/>
      <c r="K101" s="1"/>
      <c r="L101" s="1"/>
      <c r="M101" s="1" t="s">
        <v>639</v>
      </c>
      <c r="N101" s="1" t="s">
        <v>142</v>
      </c>
      <c r="O101" s="1" t="s">
        <v>143</v>
      </c>
      <c r="P101" s="2">
        <v>43819.1172222222</v>
      </c>
      <c r="Q101" s="1" t="s">
        <v>74</v>
      </c>
      <c r="R101" s="1"/>
      <c r="S101" s="1"/>
      <c r="T101" s="1">
        <v>2803302.0</v>
      </c>
      <c r="U101" s="1" t="s">
        <v>640</v>
      </c>
      <c r="V101" s="1" t="s">
        <v>566</v>
      </c>
      <c r="W101" s="1" t="s">
        <v>59</v>
      </c>
      <c r="X101" s="1"/>
      <c r="Y101" s="1"/>
      <c r="Z101" s="1" t="s">
        <v>147</v>
      </c>
      <c r="AA101" s="1" t="s">
        <v>641</v>
      </c>
      <c r="AB101" s="1" t="str">
        <f>"***562695**"</f>
        <v>***562695**</v>
      </c>
      <c r="AC101" s="1"/>
      <c r="AD101" s="1" t="s">
        <v>116</v>
      </c>
      <c r="AE101" s="1"/>
      <c r="AF101" s="1">
        <v>-36.796944</v>
      </c>
      <c r="AG101" s="1">
        <v>-10.58</v>
      </c>
      <c r="AH101" s="1" t="s">
        <v>642</v>
      </c>
      <c r="AI101" s="1"/>
      <c r="AJ101" s="1" t="s">
        <v>569</v>
      </c>
      <c r="AK101" s="1"/>
      <c r="AL101" s="1"/>
      <c r="AM101" s="1" t="s">
        <v>65</v>
      </c>
      <c r="AN101" s="1" t="s">
        <v>643</v>
      </c>
      <c r="AO101" s="1"/>
      <c r="AP101" s="2">
        <v>44225.7403587963</v>
      </c>
      <c r="AQ101" s="1"/>
      <c r="AR101" s="1" t="s">
        <v>644</v>
      </c>
      <c r="AS101" s="1"/>
      <c r="AT101" s="2">
        <v>44269.931099537</v>
      </c>
    </row>
    <row r="102" ht="13.5" customHeight="1">
      <c r="A102" s="1">
        <v>2043135.0</v>
      </c>
      <c r="B102" s="1" t="s">
        <v>67</v>
      </c>
      <c r="C102" s="1" t="s">
        <v>68</v>
      </c>
      <c r="D102" s="1" t="s">
        <v>46</v>
      </c>
      <c r="E102" s="1" t="s">
        <v>645</v>
      </c>
      <c r="F102" s="1"/>
      <c r="G102" s="1" t="s">
        <v>70</v>
      </c>
      <c r="H102" s="1" t="s">
        <v>93</v>
      </c>
      <c r="I102" s="1">
        <v>65000.0</v>
      </c>
      <c r="J102" s="1"/>
      <c r="K102" s="1"/>
      <c r="L102" s="1" t="s">
        <v>569</v>
      </c>
      <c r="M102" s="1" t="s">
        <v>646</v>
      </c>
      <c r="N102" s="1" t="s">
        <v>142</v>
      </c>
      <c r="O102" s="1" t="s">
        <v>143</v>
      </c>
      <c r="P102" s="2">
        <v>43818.9583333333</v>
      </c>
      <c r="Q102" s="1" t="s">
        <v>74</v>
      </c>
      <c r="R102" s="3">
        <v>43825.0</v>
      </c>
      <c r="S102" s="1"/>
      <c r="T102" s="1">
        <v>2804607.0</v>
      </c>
      <c r="U102" s="1" t="s">
        <v>647</v>
      </c>
      <c r="V102" s="1" t="s">
        <v>566</v>
      </c>
      <c r="W102" s="1" t="s">
        <v>59</v>
      </c>
      <c r="X102" s="1"/>
      <c r="Y102" s="1" t="str">
        <f>"02028000116202107"</f>
        <v>02028000116202107</v>
      </c>
      <c r="Z102" s="1" t="s">
        <v>147</v>
      </c>
      <c r="AA102" s="1" t="s">
        <v>648</v>
      </c>
      <c r="AB102" s="1" t="str">
        <f>"13003959000122"</f>
        <v>13003959000122</v>
      </c>
      <c r="AC102" s="1"/>
      <c r="AD102" s="1"/>
      <c r="AE102" s="1"/>
      <c r="AF102" s="1">
        <v>-37.417222</v>
      </c>
      <c r="AG102" s="1">
        <v>-10.417222</v>
      </c>
      <c r="AH102" s="1" t="s">
        <v>649</v>
      </c>
      <c r="AI102" s="1"/>
      <c r="AJ102" s="1" t="s">
        <v>569</v>
      </c>
      <c r="AK102" s="1"/>
      <c r="AL102" s="1" t="s">
        <v>79</v>
      </c>
      <c r="AM102" s="1" t="s">
        <v>65</v>
      </c>
      <c r="AN102" s="1" t="s">
        <v>643</v>
      </c>
      <c r="AO102" s="2">
        <v>44229.0</v>
      </c>
      <c r="AP102" s="2">
        <v>44229.4950231481</v>
      </c>
      <c r="AQ102" s="1" t="s">
        <v>80</v>
      </c>
      <c r="AR102" s="1" t="s">
        <v>650</v>
      </c>
      <c r="AS102" s="1"/>
      <c r="AT102" s="2">
        <v>44269.931099537</v>
      </c>
    </row>
    <row r="103" ht="13.5" customHeight="1">
      <c r="A103" s="1">
        <v>2038865.0</v>
      </c>
      <c r="B103" s="1" t="s">
        <v>67</v>
      </c>
      <c r="C103" s="1" t="s">
        <v>68</v>
      </c>
      <c r="D103" s="1" t="s">
        <v>46</v>
      </c>
      <c r="E103" s="1" t="s">
        <v>651</v>
      </c>
      <c r="F103" s="1"/>
      <c r="G103" s="1" t="s">
        <v>70</v>
      </c>
      <c r="H103" s="1" t="s">
        <v>93</v>
      </c>
      <c r="I103" s="1">
        <v>55000.0</v>
      </c>
      <c r="J103" s="1"/>
      <c r="K103" s="1"/>
      <c r="L103" s="1" t="s">
        <v>444</v>
      </c>
      <c r="M103" s="1" t="s">
        <v>652</v>
      </c>
      <c r="N103" s="1" t="s">
        <v>142</v>
      </c>
      <c r="O103" s="1" t="s">
        <v>143</v>
      </c>
      <c r="P103" s="2">
        <v>43818.9166666667</v>
      </c>
      <c r="Q103" s="1" t="s">
        <v>373</v>
      </c>
      <c r="R103" s="3">
        <v>43818.0</v>
      </c>
      <c r="S103" s="1"/>
      <c r="T103" s="1">
        <v>1100205.0</v>
      </c>
      <c r="U103" s="1" t="s">
        <v>653</v>
      </c>
      <c r="V103" s="1" t="s">
        <v>448</v>
      </c>
      <c r="W103" s="1" t="s">
        <v>177</v>
      </c>
      <c r="X103" s="1"/>
      <c r="Y103" s="1" t="str">
        <f>"02024002671202014"</f>
        <v>02024002671202014</v>
      </c>
      <c r="Z103" s="1" t="s">
        <v>147</v>
      </c>
      <c r="AA103" s="1" t="s">
        <v>654</v>
      </c>
      <c r="AB103" s="1" t="str">
        <f>"***829152**"</f>
        <v>***829152**</v>
      </c>
      <c r="AC103" s="1"/>
      <c r="AD103" s="1"/>
      <c r="AE103" s="1"/>
      <c r="AF103" s="1">
        <v>-64.615273</v>
      </c>
      <c r="AG103" s="1">
        <v>9.8275</v>
      </c>
      <c r="AH103" s="1" t="s">
        <v>655</v>
      </c>
      <c r="AI103" s="1"/>
      <c r="AJ103" s="1" t="s">
        <v>444</v>
      </c>
      <c r="AK103" s="1"/>
      <c r="AL103" s="1" t="s">
        <v>79</v>
      </c>
      <c r="AM103" s="1" t="s">
        <v>65</v>
      </c>
      <c r="AN103" s="1"/>
      <c r="AO103" s="2">
        <v>44047.0</v>
      </c>
      <c r="AP103" s="2">
        <v>44047.3668634259</v>
      </c>
      <c r="AQ103" s="1" t="s">
        <v>80</v>
      </c>
      <c r="AR103" s="1" t="s">
        <v>656</v>
      </c>
      <c r="AS103" s="1"/>
      <c r="AT103" s="2">
        <v>44269.931099537</v>
      </c>
    </row>
    <row r="104" ht="13.5" customHeight="1">
      <c r="A104" s="1"/>
      <c r="B104" s="1" t="s">
        <v>46</v>
      </c>
      <c r="C104" s="1" t="s">
        <v>657</v>
      </c>
      <c r="D104" s="1" t="s">
        <v>67</v>
      </c>
      <c r="E104" s="1" t="s">
        <v>658</v>
      </c>
      <c r="F104" s="1"/>
      <c r="G104" s="1" t="s">
        <v>49</v>
      </c>
      <c r="H104" s="1" t="s">
        <v>93</v>
      </c>
      <c r="I104" s="1">
        <v>6500.0</v>
      </c>
      <c r="J104" s="1"/>
      <c r="K104" s="1"/>
      <c r="L104" s="1"/>
      <c r="M104" s="1" t="s">
        <v>659</v>
      </c>
      <c r="N104" s="1" t="s">
        <v>142</v>
      </c>
      <c r="O104" s="1" t="s">
        <v>143</v>
      </c>
      <c r="P104" s="2">
        <v>43818.8771412037</v>
      </c>
      <c r="Q104" s="1" t="s">
        <v>74</v>
      </c>
      <c r="R104" s="1"/>
      <c r="S104" s="1"/>
      <c r="T104" s="1">
        <v>2804607.0</v>
      </c>
      <c r="U104" s="1" t="s">
        <v>647</v>
      </c>
      <c r="V104" s="1" t="s">
        <v>566</v>
      </c>
      <c r="W104" s="1" t="s">
        <v>59</v>
      </c>
      <c r="X104" s="1"/>
      <c r="Y104" s="1"/>
      <c r="Z104" s="1" t="s">
        <v>147</v>
      </c>
      <c r="AA104" s="1" t="s">
        <v>648</v>
      </c>
      <c r="AB104" s="1" t="str">
        <f>"13003959000122"</f>
        <v>13003959000122</v>
      </c>
      <c r="AC104" s="1"/>
      <c r="AD104" s="1" t="s">
        <v>116</v>
      </c>
      <c r="AE104" s="1"/>
      <c r="AF104" s="1">
        <v>-37.174444</v>
      </c>
      <c r="AG104" s="1">
        <v>-10.416667</v>
      </c>
      <c r="AH104" s="1" t="s">
        <v>660</v>
      </c>
      <c r="AI104" s="1"/>
      <c r="AJ104" s="1" t="s">
        <v>569</v>
      </c>
      <c r="AK104" s="1"/>
      <c r="AL104" s="1"/>
      <c r="AM104" s="1" t="s">
        <v>65</v>
      </c>
      <c r="AN104" s="1" t="s">
        <v>643</v>
      </c>
      <c r="AO104" s="1"/>
      <c r="AP104" s="2">
        <v>44225.7406712963</v>
      </c>
      <c r="AQ104" s="1"/>
      <c r="AR104" s="1" t="s">
        <v>644</v>
      </c>
      <c r="AS104" s="1"/>
      <c r="AT104" s="2">
        <v>44269.931099537</v>
      </c>
    </row>
    <row r="105" ht="13.5" customHeight="1">
      <c r="A105" s="1"/>
      <c r="B105" s="1" t="s">
        <v>46</v>
      </c>
      <c r="C105" s="1" t="s">
        <v>657</v>
      </c>
      <c r="D105" s="1"/>
      <c r="E105" s="1" t="s">
        <v>661</v>
      </c>
      <c r="F105" s="1"/>
      <c r="G105" s="1" t="s">
        <v>49</v>
      </c>
      <c r="H105" s="1" t="s">
        <v>93</v>
      </c>
      <c r="I105" s="1">
        <v>5149.2</v>
      </c>
      <c r="J105" s="1"/>
      <c r="K105" s="1"/>
      <c r="L105" s="1"/>
      <c r="M105" s="1" t="s">
        <v>611</v>
      </c>
      <c r="N105" s="1" t="s">
        <v>142</v>
      </c>
      <c r="O105" s="1" t="s">
        <v>143</v>
      </c>
      <c r="P105" s="2">
        <v>43818.8381597222</v>
      </c>
      <c r="Q105" s="1" t="s">
        <v>74</v>
      </c>
      <c r="R105" s="1"/>
      <c r="S105" s="1"/>
      <c r="T105" s="1">
        <v>2803500.0</v>
      </c>
      <c r="U105" s="1" t="s">
        <v>565</v>
      </c>
      <c r="V105" s="1" t="s">
        <v>566</v>
      </c>
      <c r="W105" s="1" t="s">
        <v>177</v>
      </c>
      <c r="X105" s="1"/>
      <c r="Y105" s="1"/>
      <c r="Z105" s="1" t="s">
        <v>147</v>
      </c>
      <c r="AA105" s="1" t="s">
        <v>662</v>
      </c>
      <c r="AB105" s="1" t="str">
        <f>"08463448000153"</f>
        <v>08463448000153</v>
      </c>
      <c r="AC105" s="1"/>
      <c r="AD105" s="1" t="s">
        <v>62</v>
      </c>
      <c r="AE105" s="1"/>
      <c r="AF105" s="1">
        <v>-37.800003</v>
      </c>
      <c r="AG105" s="1">
        <v>-11.014166</v>
      </c>
      <c r="AH105" s="1" t="s">
        <v>663</v>
      </c>
      <c r="AI105" s="1"/>
      <c r="AJ105" s="1" t="s">
        <v>569</v>
      </c>
      <c r="AK105" s="1"/>
      <c r="AL105" s="1"/>
      <c r="AM105" s="1" t="s">
        <v>65</v>
      </c>
      <c r="AN105" s="1" t="s">
        <v>570</v>
      </c>
      <c r="AO105" s="1"/>
      <c r="AP105" s="2">
        <v>43819.5757175926</v>
      </c>
      <c r="AQ105" s="1"/>
      <c r="AR105" s="1" t="s">
        <v>613</v>
      </c>
      <c r="AS105" s="1" t="s">
        <v>614</v>
      </c>
      <c r="AT105" s="2">
        <v>44269.931099537</v>
      </c>
    </row>
    <row r="106" ht="13.5" customHeight="1">
      <c r="A106" s="1"/>
      <c r="B106" s="1" t="s">
        <v>46</v>
      </c>
      <c r="C106" s="1" t="s">
        <v>47</v>
      </c>
      <c r="D106" s="1"/>
      <c r="E106" s="1" t="s">
        <v>664</v>
      </c>
      <c r="F106" s="1"/>
      <c r="G106" s="1" t="s">
        <v>121</v>
      </c>
      <c r="H106" s="1" t="s">
        <v>50</v>
      </c>
      <c r="I106" s="1"/>
      <c r="J106" s="1"/>
      <c r="K106" s="1"/>
      <c r="L106" s="1"/>
      <c r="M106" s="1" t="s">
        <v>665</v>
      </c>
      <c r="N106" s="1" t="s">
        <v>95</v>
      </c>
      <c r="O106" s="1" t="s">
        <v>96</v>
      </c>
      <c r="P106" s="2">
        <v>43818.8230208333</v>
      </c>
      <c r="Q106" s="1"/>
      <c r="R106" s="1"/>
      <c r="S106" s="1"/>
      <c r="T106" s="1">
        <v>3106705.0</v>
      </c>
      <c r="U106" s="1" t="s">
        <v>666</v>
      </c>
      <c r="V106" s="1" t="s">
        <v>126</v>
      </c>
      <c r="W106" s="1" t="s">
        <v>127</v>
      </c>
      <c r="X106" s="1"/>
      <c r="Y106" s="1"/>
      <c r="Z106" s="1" t="s">
        <v>667</v>
      </c>
      <c r="AA106" s="1" t="s">
        <v>668</v>
      </c>
      <c r="AB106" s="1" t="str">
        <f>"***585906**"</f>
        <v>***585906**</v>
      </c>
      <c r="AC106" s="1"/>
      <c r="AD106" s="1" t="s">
        <v>62</v>
      </c>
      <c r="AE106" s="1"/>
      <c r="AF106" s="1">
        <v>-44.150139</v>
      </c>
      <c r="AG106" s="1">
        <v>-19.975973</v>
      </c>
      <c r="AH106" s="1" t="s">
        <v>669</v>
      </c>
      <c r="AI106" s="1"/>
      <c r="AJ106" s="1" t="s">
        <v>131</v>
      </c>
      <c r="AK106" s="1"/>
      <c r="AL106" s="1"/>
      <c r="AM106" s="1" t="s">
        <v>65</v>
      </c>
      <c r="AN106" s="1" t="s">
        <v>132</v>
      </c>
      <c r="AO106" s="1"/>
      <c r="AP106" s="2">
        <v>44076.7266203704</v>
      </c>
      <c r="AQ106" s="1"/>
      <c r="AR106" s="1" t="s">
        <v>670</v>
      </c>
      <c r="AS106" s="1" t="s">
        <v>134</v>
      </c>
      <c r="AT106" s="2">
        <v>44269.931099537</v>
      </c>
    </row>
    <row r="107" ht="13.5" customHeight="1">
      <c r="A107" s="1">
        <v>2034932.0</v>
      </c>
      <c r="B107" s="1" t="s">
        <v>67</v>
      </c>
      <c r="C107" s="1" t="s">
        <v>68</v>
      </c>
      <c r="D107" s="1" t="s">
        <v>46</v>
      </c>
      <c r="E107" s="1" t="s">
        <v>671</v>
      </c>
      <c r="F107" s="1"/>
      <c r="G107" s="1" t="s">
        <v>70</v>
      </c>
      <c r="H107" s="1" t="s">
        <v>50</v>
      </c>
      <c r="I107" s="1">
        <v>100000.0</v>
      </c>
      <c r="J107" s="1"/>
      <c r="K107" s="1"/>
      <c r="L107" s="1" t="s">
        <v>151</v>
      </c>
      <c r="M107" s="1" t="s">
        <v>672</v>
      </c>
      <c r="N107" s="1" t="s">
        <v>53</v>
      </c>
      <c r="O107" s="1" t="s">
        <v>54</v>
      </c>
      <c r="P107" s="2">
        <v>43818.7083333333</v>
      </c>
      <c r="Q107" s="1" t="s">
        <v>74</v>
      </c>
      <c r="R107" s="3">
        <v>43818.0</v>
      </c>
      <c r="S107" s="1"/>
      <c r="T107" s="1">
        <v>4313656.0</v>
      </c>
      <c r="U107" s="1" t="s">
        <v>673</v>
      </c>
      <c r="V107" s="1" t="s">
        <v>145</v>
      </c>
      <c r="W107" s="1" t="s">
        <v>288</v>
      </c>
      <c r="X107" s="1"/>
      <c r="Y107" s="1" t="str">
        <f>"02023000036202011"</f>
        <v>02023000036202011</v>
      </c>
      <c r="Z107" s="1" t="s">
        <v>60</v>
      </c>
      <c r="AA107" s="1" t="s">
        <v>674</v>
      </c>
      <c r="AB107" s="1" t="str">
        <f>"***678609**"</f>
        <v>***678609**</v>
      </c>
      <c r="AC107" s="1"/>
      <c r="AD107" s="1"/>
      <c r="AE107" s="1"/>
      <c r="AF107" s="1">
        <v>-50.242779</v>
      </c>
      <c r="AG107" s="1">
        <v>-30.552221</v>
      </c>
      <c r="AH107" s="1" t="s">
        <v>675</v>
      </c>
      <c r="AI107" s="1"/>
      <c r="AJ107" s="1" t="s">
        <v>151</v>
      </c>
      <c r="AK107" s="1"/>
      <c r="AL107" s="1" t="s">
        <v>79</v>
      </c>
      <c r="AM107" s="1" t="s">
        <v>65</v>
      </c>
      <c r="AN107" s="1" t="s">
        <v>152</v>
      </c>
      <c r="AO107" s="2">
        <v>43892.0</v>
      </c>
      <c r="AP107" s="2">
        <v>43892.7103587963</v>
      </c>
      <c r="AQ107" s="1" t="s">
        <v>80</v>
      </c>
      <c r="AR107" s="1" t="s">
        <v>676</v>
      </c>
      <c r="AS107" s="1" t="s">
        <v>677</v>
      </c>
      <c r="AT107" s="2">
        <v>44269.931099537</v>
      </c>
    </row>
    <row r="108" ht="13.5" customHeight="1">
      <c r="A108" s="1">
        <v>2037759.0</v>
      </c>
      <c r="B108" s="1" t="s">
        <v>67</v>
      </c>
      <c r="C108" s="1" t="s">
        <v>68</v>
      </c>
      <c r="D108" s="1" t="s">
        <v>46</v>
      </c>
      <c r="E108" s="1" t="s">
        <v>678</v>
      </c>
      <c r="F108" s="1"/>
      <c r="G108" s="1" t="s">
        <v>70</v>
      </c>
      <c r="H108" s="1" t="s">
        <v>93</v>
      </c>
      <c r="I108" s="1">
        <v>15000.0</v>
      </c>
      <c r="J108" s="1"/>
      <c r="K108" s="1"/>
      <c r="L108" s="1" t="s">
        <v>587</v>
      </c>
      <c r="M108" s="1" t="s">
        <v>679</v>
      </c>
      <c r="N108" s="1" t="s">
        <v>95</v>
      </c>
      <c r="O108" s="1" t="s">
        <v>96</v>
      </c>
      <c r="P108" s="2">
        <v>43818.7083333333</v>
      </c>
      <c r="Q108" s="1" t="s">
        <v>74</v>
      </c>
      <c r="R108" s="3">
        <v>43824.0</v>
      </c>
      <c r="S108" s="1"/>
      <c r="T108" s="1">
        <v>3141801.0</v>
      </c>
      <c r="U108" s="1" t="s">
        <v>680</v>
      </c>
      <c r="V108" s="1" t="s">
        <v>126</v>
      </c>
      <c r="W108" s="1" t="s">
        <v>127</v>
      </c>
      <c r="X108" s="1"/>
      <c r="Y108" s="1" t="str">
        <f>"02566000428201909"</f>
        <v>02566000428201909</v>
      </c>
      <c r="Z108" s="1" t="s">
        <v>98</v>
      </c>
      <c r="AA108" s="1" t="s">
        <v>681</v>
      </c>
      <c r="AB108" s="1" t="str">
        <f>"***169246**"</f>
        <v>***169246**</v>
      </c>
      <c r="AC108" s="1"/>
      <c r="AD108" s="1" t="s">
        <v>116</v>
      </c>
      <c r="AE108" s="1"/>
      <c r="AF108" s="1">
        <v>-42.605833</v>
      </c>
      <c r="AG108" s="1">
        <v>-17.146944</v>
      </c>
      <c r="AH108" s="1" t="s">
        <v>682</v>
      </c>
      <c r="AI108" s="1"/>
      <c r="AJ108" s="1" t="s">
        <v>587</v>
      </c>
      <c r="AK108" s="1"/>
      <c r="AL108" s="1" t="s">
        <v>118</v>
      </c>
      <c r="AM108" s="1" t="s">
        <v>65</v>
      </c>
      <c r="AN108" s="1" t="s">
        <v>592</v>
      </c>
      <c r="AO108" s="2">
        <v>44008.0</v>
      </c>
      <c r="AP108" s="2">
        <v>44008.5101388889</v>
      </c>
      <c r="AQ108" s="1" t="s">
        <v>80</v>
      </c>
      <c r="AR108" s="1" t="s">
        <v>683</v>
      </c>
      <c r="AS108" s="1"/>
      <c r="AT108" s="2">
        <v>44269.931099537</v>
      </c>
    </row>
    <row r="109" ht="13.5" customHeight="1">
      <c r="A109" s="1"/>
      <c r="B109" s="1" t="s">
        <v>46</v>
      </c>
      <c r="C109" s="1" t="s">
        <v>47</v>
      </c>
      <c r="D109" s="1"/>
      <c r="E109" s="1" t="s">
        <v>684</v>
      </c>
      <c r="F109" s="1"/>
      <c r="G109" s="1" t="s">
        <v>49</v>
      </c>
      <c r="H109" s="1" t="s">
        <v>93</v>
      </c>
      <c r="I109" s="1">
        <v>20700.0</v>
      </c>
      <c r="J109" s="1"/>
      <c r="K109" s="1"/>
      <c r="L109" s="1"/>
      <c r="M109" s="1" t="s">
        <v>685</v>
      </c>
      <c r="N109" s="1" t="s">
        <v>142</v>
      </c>
      <c r="O109" s="1" t="s">
        <v>143</v>
      </c>
      <c r="P109" s="2">
        <v>43818.6725810185</v>
      </c>
      <c r="Q109" s="1" t="s">
        <v>74</v>
      </c>
      <c r="R109" s="1"/>
      <c r="S109" s="1" t="s">
        <v>110</v>
      </c>
      <c r="T109" s="1">
        <v>4317103.0</v>
      </c>
      <c r="U109" s="1" t="s">
        <v>144</v>
      </c>
      <c r="V109" s="1" t="s">
        <v>145</v>
      </c>
      <c r="W109" s="1" t="s">
        <v>146</v>
      </c>
      <c r="X109" s="1"/>
      <c r="Y109" s="1"/>
      <c r="Z109" s="1" t="s">
        <v>147</v>
      </c>
      <c r="AA109" s="1" t="s">
        <v>493</v>
      </c>
      <c r="AB109" s="1" t="str">
        <f>"17911039000163"</f>
        <v>17911039000163</v>
      </c>
      <c r="AC109" s="1"/>
      <c r="AD109" s="1" t="s">
        <v>149</v>
      </c>
      <c r="AE109" s="1"/>
      <c r="AF109" s="1">
        <v>-55.539165</v>
      </c>
      <c r="AG109" s="1">
        <v>-30.877777</v>
      </c>
      <c r="AH109" s="1" t="s">
        <v>686</v>
      </c>
      <c r="AI109" s="1"/>
      <c r="AJ109" s="1" t="s">
        <v>151</v>
      </c>
      <c r="AK109" s="1"/>
      <c r="AL109" s="1"/>
      <c r="AM109" s="1" t="s">
        <v>65</v>
      </c>
      <c r="AN109" s="1" t="s">
        <v>152</v>
      </c>
      <c r="AO109" s="1"/>
      <c r="AP109" s="2">
        <v>43829.8002893519</v>
      </c>
      <c r="AQ109" s="1"/>
      <c r="AR109" s="1" t="s">
        <v>613</v>
      </c>
      <c r="AS109" s="1"/>
      <c r="AT109" s="2">
        <v>44269.931099537</v>
      </c>
    </row>
    <row r="110" ht="13.5" customHeight="1">
      <c r="A110" s="1">
        <v>2034929.0</v>
      </c>
      <c r="B110" s="1" t="s">
        <v>67</v>
      </c>
      <c r="C110" s="1" t="s">
        <v>68</v>
      </c>
      <c r="D110" s="1" t="s">
        <v>46</v>
      </c>
      <c r="E110" s="1" t="s">
        <v>687</v>
      </c>
      <c r="F110" s="1"/>
      <c r="G110" s="1" t="s">
        <v>70</v>
      </c>
      <c r="H110" s="1" t="s">
        <v>50</v>
      </c>
      <c r="I110" s="1">
        <v>100000.0</v>
      </c>
      <c r="J110" s="1"/>
      <c r="K110" s="1"/>
      <c r="L110" s="1" t="s">
        <v>151</v>
      </c>
      <c r="M110" s="1" t="s">
        <v>688</v>
      </c>
      <c r="N110" s="1" t="s">
        <v>53</v>
      </c>
      <c r="O110" s="1" t="s">
        <v>54</v>
      </c>
      <c r="P110" s="2">
        <v>43818.6666666667</v>
      </c>
      <c r="Q110" s="1" t="s">
        <v>74</v>
      </c>
      <c r="R110" s="3">
        <v>43818.0</v>
      </c>
      <c r="S110" s="1"/>
      <c r="T110" s="1">
        <v>4313656.0</v>
      </c>
      <c r="U110" s="1" t="s">
        <v>673</v>
      </c>
      <c r="V110" s="1" t="s">
        <v>145</v>
      </c>
      <c r="W110" s="1" t="s">
        <v>288</v>
      </c>
      <c r="X110" s="1"/>
      <c r="Y110" s="1" t="str">
        <f>"02023000033202079"</f>
        <v>02023000033202079</v>
      </c>
      <c r="Z110" s="1" t="s">
        <v>60</v>
      </c>
      <c r="AA110" s="1" t="s">
        <v>674</v>
      </c>
      <c r="AB110" s="1" t="str">
        <f t="shared" ref="AB110:AB112" si="6">"***678609**"</f>
        <v>***678609**</v>
      </c>
      <c r="AC110" s="1"/>
      <c r="AD110" s="1"/>
      <c r="AE110" s="1"/>
      <c r="AF110" s="1">
        <v>-50.401669</v>
      </c>
      <c r="AG110" s="1">
        <v>-30.740833</v>
      </c>
      <c r="AH110" s="1" t="s">
        <v>675</v>
      </c>
      <c r="AI110" s="1"/>
      <c r="AJ110" s="1" t="s">
        <v>151</v>
      </c>
      <c r="AK110" s="1"/>
      <c r="AL110" s="1" t="s">
        <v>79</v>
      </c>
      <c r="AM110" s="1" t="s">
        <v>65</v>
      </c>
      <c r="AN110" s="1" t="s">
        <v>152</v>
      </c>
      <c r="AO110" s="2">
        <v>43892.0</v>
      </c>
      <c r="AP110" s="2">
        <v>43892.71</v>
      </c>
      <c r="AQ110" s="1" t="s">
        <v>80</v>
      </c>
      <c r="AR110" s="1" t="s">
        <v>676</v>
      </c>
      <c r="AS110" s="1" t="s">
        <v>677</v>
      </c>
      <c r="AT110" s="2">
        <v>44269.931099537</v>
      </c>
    </row>
    <row r="111" ht="13.5" customHeight="1">
      <c r="A111" s="1">
        <v>2034930.0</v>
      </c>
      <c r="B111" s="1" t="s">
        <v>67</v>
      </c>
      <c r="C111" s="1" t="s">
        <v>68</v>
      </c>
      <c r="D111" s="1" t="s">
        <v>46</v>
      </c>
      <c r="E111" s="1" t="s">
        <v>689</v>
      </c>
      <c r="F111" s="1"/>
      <c r="G111" s="1" t="s">
        <v>70</v>
      </c>
      <c r="H111" s="1" t="s">
        <v>50</v>
      </c>
      <c r="I111" s="1">
        <v>100000.0</v>
      </c>
      <c r="J111" s="1"/>
      <c r="K111" s="1"/>
      <c r="L111" s="1" t="s">
        <v>151</v>
      </c>
      <c r="M111" s="1" t="s">
        <v>690</v>
      </c>
      <c r="N111" s="1" t="s">
        <v>53</v>
      </c>
      <c r="O111" s="1" t="s">
        <v>54</v>
      </c>
      <c r="P111" s="2">
        <v>43818.6666666667</v>
      </c>
      <c r="Q111" s="1" t="s">
        <v>74</v>
      </c>
      <c r="R111" s="3">
        <v>43818.0</v>
      </c>
      <c r="S111" s="1"/>
      <c r="T111" s="1">
        <v>4312500.0</v>
      </c>
      <c r="U111" s="1" t="s">
        <v>691</v>
      </c>
      <c r="V111" s="1" t="s">
        <v>145</v>
      </c>
      <c r="W111" s="1" t="s">
        <v>288</v>
      </c>
      <c r="X111" s="1"/>
      <c r="Y111" s="1" t="str">
        <f>"02023000034202013"</f>
        <v>02023000034202013</v>
      </c>
      <c r="Z111" s="1" t="s">
        <v>60</v>
      </c>
      <c r="AA111" s="1" t="s">
        <v>674</v>
      </c>
      <c r="AB111" s="1" t="str">
        <f t="shared" si="6"/>
        <v>***678609**</v>
      </c>
      <c r="AC111" s="1"/>
      <c r="AD111" s="1"/>
      <c r="AE111" s="1"/>
      <c r="AF111" s="1">
        <v>-50.270832</v>
      </c>
      <c r="AG111" s="1">
        <v>-30.579168</v>
      </c>
      <c r="AH111" s="1" t="s">
        <v>675</v>
      </c>
      <c r="AI111" s="1"/>
      <c r="AJ111" s="1" t="s">
        <v>151</v>
      </c>
      <c r="AK111" s="1"/>
      <c r="AL111" s="1" t="s">
        <v>79</v>
      </c>
      <c r="AM111" s="1" t="s">
        <v>65</v>
      </c>
      <c r="AN111" s="1" t="s">
        <v>152</v>
      </c>
      <c r="AO111" s="2">
        <v>43892.0</v>
      </c>
      <c r="AP111" s="2">
        <v>43892.7101157407</v>
      </c>
      <c r="AQ111" s="1" t="s">
        <v>80</v>
      </c>
      <c r="AR111" s="1" t="s">
        <v>676</v>
      </c>
      <c r="AS111" s="1" t="s">
        <v>677</v>
      </c>
      <c r="AT111" s="2">
        <v>44269.931099537</v>
      </c>
    </row>
    <row r="112" ht="13.5" customHeight="1">
      <c r="A112" s="1">
        <v>2034931.0</v>
      </c>
      <c r="B112" s="1" t="s">
        <v>67</v>
      </c>
      <c r="C112" s="1" t="s">
        <v>68</v>
      </c>
      <c r="D112" s="1" t="s">
        <v>46</v>
      </c>
      <c r="E112" s="1" t="s">
        <v>692</v>
      </c>
      <c r="F112" s="1"/>
      <c r="G112" s="1" t="s">
        <v>70</v>
      </c>
      <c r="H112" s="1" t="s">
        <v>50</v>
      </c>
      <c r="I112" s="1">
        <v>100000.0</v>
      </c>
      <c r="J112" s="1"/>
      <c r="K112" s="1"/>
      <c r="L112" s="1" t="s">
        <v>151</v>
      </c>
      <c r="M112" s="1" t="s">
        <v>693</v>
      </c>
      <c r="N112" s="1" t="s">
        <v>53</v>
      </c>
      <c r="O112" s="1" t="s">
        <v>54</v>
      </c>
      <c r="P112" s="2">
        <v>43818.6666666667</v>
      </c>
      <c r="Q112" s="1" t="s">
        <v>74</v>
      </c>
      <c r="R112" s="3">
        <v>43818.0</v>
      </c>
      <c r="S112" s="1"/>
      <c r="T112" s="1">
        <v>4313656.0</v>
      </c>
      <c r="U112" s="1" t="s">
        <v>673</v>
      </c>
      <c r="V112" s="1" t="s">
        <v>145</v>
      </c>
      <c r="W112" s="1" t="s">
        <v>288</v>
      </c>
      <c r="X112" s="1"/>
      <c r="Y112" s="1" t="str">
        <f>"02023000035202068"</f>
        <v>02023000035202068</v>
      </c>
      <c r="Z112" s="1" t="s">
        <v>60</v>
      </c>
      <c r="AA112" s="1" t="s">
        <v>674</v>
      </c>
      <c r="AB112" s="1" t="str">
        <f t="shared" si="6"/>
        <v>***678609**</v>
      </c>
      <c r="AC112" s="1"/>
      <c r="AD112" s="1"/>
      <c r="AE112" s="1"/>
      <c r="AF112" s="1">
        <v>-50.107498</v>
      </c>
      <c r="AG112" s="1">
        <v>-30.366945</v>
      </c>
      <c r="AH112" s="1" t="s">
        <v>675</v>
      </c>
      <c r="AI112" s="1"/>
      <c r="AJ112" s="1" t="s">
        <v>151</v>
      </c>
      <c r="AK112" s="1"/>
      <c r="AL112" s="1" t="s">
        <v>79</v>
      </c>
      <c r="AM112" s="1" t="s">
        <v>65</v>
      </c>
      <c r="AN112" s="1" t="s">
        <v>152</v>
      </c>
      <c r="AO112" s="2">
        <v>43892.0</v>
      </c>
      <c r="AP112" s="2">
        <v>43892.7102314815</v>
      </c>
      <c r="AQ112" s="1" t="s">
        <v>80</v>
      </c>
      <c r="AR112" s="1" t="s">
        <v>676</v>
      </c>
      <c r="AS112" s="1" t="s">
        <v>677</v>
      </c>
      <c r="AT112" s="2">
        <v>44269.931099537</v>
      </c>
    </row>
    <row r="113" ht="13.5" customHeight="1">
      <c r="A113" s="1">
        <v>2034927.0</v>
      </c>
      <c r="B113" s="1" t="s">
        <v>67</v>
      </c>
      <c r="C113" s="1" t="s">
        <v>68</v>
      </c>
      <c r="D113" s="1" t="s">
        <v>46</v>
      </c>
      <c r="E113" s="1" t="s">
        <v>694</v>
      </c>
      <c r="F113" s="1"/>
      <c r="G113" s="1" t="s">
        <v>70</v>
      </c>
      <c r="H113" s="1" t="s">
        <v>50</v>
      </c>
      <c r="I113" s="1">
        <v>100000.0</v>
      </c>
      <c r="J113" s="1"/>
      <c r="K113" s="1"/>
      <c r="L113" s="1" t="s">
        <v>151</v>
      </c>
      <c r="M113" s="1" t="s">
        <v>695</v>
      </c>
      <c r="N113" s="1" t="s">
        <v>53</v>
      </c>
      <c r="O113" s="1" t="s">
        <v>54</v>
      </c>
      <c r="P113" s="2">
        <v>43818.625</v>
      </c>
      <c r="Q113" s="1" t="s">
        <v>74</v>
      </c>
      <c r="R113" s="3">
        <v>43818.0</v>
      </c>
      <c r="S113" s="1"/>
      <c r="T113" s="1">
        <v>4301057.0</v>
      </c>
      <c r="U113" s="1" t="s">
        <v>696</v>
      </c>
      <c r="V113" s="1" t="s">
        <v>145</v>
      </c>
      <c r="W113" s="1" t="s">
        <v>288</v>
      </c>
      <c r="X113" s="1"/>
      <c r="Y113" s="1" t="str">
        <f>"02023000032202024"</f>
        <v>02023000032202024</v>
      </c>
      <c r="Z113" s="1" t="s">
        <v>60</v>
      </c>
      <c r="AA113" s="1" t="s">
        <v>697</v>
      </c>
      <c r="AB113" s="1" t="str">
        <f>"***249568**"</f>
        <v>***249568**</v>
      </c>
      <c r="AC113" s="1"/>
      <c r="AD113" s="1"/>
      <c r="AE113" s="1"/>
      <c r="AF113" s="1">
        <v>-49.709446</v>
      </c>
      <c r="AG113" s="1">
        <v>-29.567223</v>
      </c>
      <c r="AH113" s="1" t="s">
        <v>675</v>
      </c>
      <c r="AI113" s="1"/>
      <c r="AJ113" s="1" t="s">
        <v>151</v>
      </c>
      <c r="AK113" s="1"/>
      <c r="AL113" s="1" t="s">
        <v>79</v>
      </c>
      <c r="AM113" s="1" t="s">
        <v>65</v>
      </c>
      <c r="AN113" s="1" t="s">
        <v>152</v>
      </c>
      <c r="AO113" s="2">
        <v>43892.0</v>
      </c>
      <c r="AP113" s="2">
        <v>43892.7083680556</v>
      </c>
      <c r="AQ113" s="1" t="s">
        <v>80</v>
      </c>
      <c r="AR113" s="1" t="s">
        <v>676</v>
      </c>
      <c r="AS113" s="1" t="s">
        <v>698</v>
      </c>
      <c r="AT113" s="2">
        <v>44269.931099537</v>
      </c>
    </row>
    <row r="114" ht="13.5" customHeight="1">
      <c r="A114" s="1">
        <v>2034491.0</v>
      </c>
      <c r="B114" s="1" t="s">
        <v>67</v>
      </c>
      <c r="C114" s="1" t="s">
        <v>68</v>
      </c>
      <c r="D114" s="1" t="s">
        <v>46</v>
      </c>
      <c r="E114" s="1" t="s">
        <v>699</v>
      </c>
      <c r="F114" s="1"/>
      <c r="G114" s="1" t="s">
        <v>70</v>
      </c>
      <c r="H114" s="1" t="s">
        <v>93</v>
      </c>
      <c r="I114" s="1">
        <v>4000.0</v>
      </c>
      <c r="J114" s="1"/>
      <c r="K114" s="1"/>
      <c r="L114" s="1" t="s">
        <v>106</v>
      </c>
      <c r="M114" s="1" t="s">
        <v>700</v>
      </c>
      <c r="N114" s="1" t="s">
        <v>108</v>
      </c>
      <c r="O114" s="1" t="s">
        <v>73</v>
      </c>
      <c r="P114" s="2">
        <v>43818.6131944445</v>
      </c>
      <c r="Q114" s="1" t="s">
        <v>74</v>
      </c>
      <c r="R114" s="1"/>
      <c r="S114" s="1"/>
      <c r="T114" s="1">
        <v>2306108.0</v>
      </c>
      <c r="U114" s="1" t="s">
        <v>701</v>
      </c>
      <c r="V114" s="1" t="s">
        <v>112</v>
      </c>
      <c r="W114" s="1" t="s">
        <v>113</v>
      </c>
      <c r="X114" s="1"/>
      <c r="Y114" s="1" t="str">
        <f>"02007004066201952"</f>
        <v>02007004066201952</v>
      </c>
      <c r="Z114" s="1" t="s">
        <v>114</v>
      </c>
      <c r="AA114" s="1" t="s">
        <v>702</v>
      </c>
      <c r="AB114" s="1" t="str">
        <f>"72334378000132"</f>
        <v>72334378000132</v>
      </c>
      <c r="AC114" s="1"/>
      <c r="AD114" s="1" t="s">
        <v>116</v>
      </c>
      <c r="AE114" s="1"/>
      <c r="AF114" s="1">
        <v>0.0</v>
      </c>
      <c r="AG114" s="1">
        <v>0.0</v>
      </c>
      <c r="AH114" s="1" t="s">
        <v>703</v>
      </c>
      <c r="AI114" s="1"/>
      <c r="AJ114" s="1"/>
      <c r="AK114" s="1"/>
      <c r="AL114" s="1" t="s">
        <v>118</v>
      </c>
      <c r="AM114" s="1"/>
      <c r="AN114" s="1"/>
      <c r="AO114" s="2">
        <v>43878.7441087963</v>
      </c>
      <c r="AP114" s="2">
        <v>43878.7441087963</v>
      </c>
      <c r="AQ114" s="1" t="s">
        <v>80</v>
      </c>
      <c r="AR114" s="1" t="s">
        <v>276</v>
      </c>
      <c r="AS114" s="1"/>
      <c r="AT114" s="2">
        <v>44269.931099537</v>
      </c>
    </row>
    <row r="115" ht="13.5" customHeight="1">
      <c r="A115" s="1">
        <v>2034926.0</v>
      </c>
      <c r="B115" s="1" t="s">
        <v>67</v>
      </c>
      <c r="C115" s="1" t="s">
        <v>68</v>
      </c>
      <c r="D115" s="1" t="s">
        <v>46</v>
      </c>
      <c r="E115" s="1" t="s">
        <v>704</v>
      </c>
      <c r="F115" s="1"/>
      <c r="G115" s="1" t="s">
        <v>70</v>
      </c>
      <c r="H115" s="1" t="s">
        <v>50</v>
      </c>
      <c r="I115" s="1">
        <v>92000.0</v>
      </c>
      <c r="J115" s="1"/>
      <c r="K115" s="1"/>
      <c r="L115" s="1" t="s">
        <v>151</v>
      </c>
      <c r="M115" s="1" t="s">
        <v>705</v>
      </c>
      <c r="N115" s="1" t="s">
        <v>142</v>
      </c>
      <c r="O115" s="1" t="s">
        <v>143</v>
      </c>
      <c r="P115" s="2">
        <v>43818.5416666667</v>
      </c>
      <c r="Q115" s="1" t="s">
        <v>74</v>
      </c>
      <c r="R115" s="3">
        <v>43818.0</v>
      </c>
      <c r="S115" s="1" t="s">
        <v>110</v>
      </c>
      <c r="T115" s="1">
        <v>4302501.0</v>
      </c>
      <c r="U115" s="1" t="s">
        <v>706</v>
      </c>
      <c r="V115" s="1" t="s">
        <v>145</v>
      </c>
      <c r="W115" s="1" t="s">
        <v>146</v>
      </c>
      <c r="X115" s="1"/>
      <c r="Y115" s="1" t="str">
        <f>"02023000057202028"</f>
        <v>02023000057202028</v>
      </c>
      <c r="Z115" s="1" t="s">
        <v>147</v>
      </c>
      <c r="AA115" s="1" t="s">
        <v>707</v>
      </c>
      <c r="AB115" s="1" t="str">
        <f>"***027160**"</f>
        <v>***027160**</v>
      </c>
      <c r="AC115" s="1"/>
      <c r="AD115" s="1"/>
      <c r="AE115" s="1"/>
      <c r="AF115" s="1">
        <v>-54.788334</v>
      </c>
      <c r="AG115" s="1">
        <v>-28.826389</v>
      </c>
      <c r="AH115" s="1" t="s">
        <v>708</v>
      </c>
      <c r="AI115" s="1"/>
      <c r="AJ115" s="1" t="s">
        <v>151</v>
      </c>
      <c r="AK115" s="1"/>
      <c r="AL115" s="1" t="s">
        <v>79</v>
      </c>
      <c r="AM115" s="1" t="s">
        <v>65</v>
      </c>
      <c r="AN115" s="1" t="s">
        <v>709</v>
      </c>
      <c r="AO115" s="2">
        <v>43892.0</v>
      </c>
      <c r="AP115" s="2">
        <v>43892.7082291667</v>
      </c>
      <c r="AQ115" s="1" t="s">
        <v>80</v>
      </c>
      <c r="AR115" s="1" t="s">
        <v>710</v>
      </c>
      <c r="AS115" s="1"/>
      <c r="AT115" s="2">
        <v>44269.931099537</v>
      </c>
    </row>
    <row r="116" ht="13.5" customHeight="1">
      <c r="A116" s="1">
        <v>2038614.0</v>
      </c>
      <c r="B116" s="1" t="s">
        <v>67</v>
      </c>
      <c r="C116" s="1" t="s">
        <v>68</v>
      </c>
      <c r="D116" s="1" t="s">
        <v>46</v>
      </c>
      <c r="E116" s="1" t="s">
        <v>711</v>
      </c>
      <c r="F116" s="1"/>
      <c r="G116" s="1" t="s">
        <v>70</v>
      </c>
      <c r="H116" s="1" t="s">
        <v>93</v>
      </c>
      <c r="I116" s="1">
        <v>5400.0</v>
      </c>
      <c r="J116" s="1"/>
      <c r="K116" s="1"/>
      <c r="L116" s="1" t="s">
        <v>196</v>
      </c>
      <c r="M116" s="1" t="s">
        <v>712</v>
      </c>
      <c r="N116" s="1" t="s">
        <v>142</v>
      </c>
      <c r="O116" s="1" t="s">
        <v>143</v>
      </c>
      <c r="P116" s="2">
        <v>43818.5416666667</v>
      </c>
      <c r="Q116" s="1" t="s">
        <v>74</v>
      </c>
      <c r="R116" s="1"/>
      <c r="S116" s="1"/>
      <c r="T116" s="1">
        <v>1501402.0</v>
      </c>
      <c r="U116" s="1" t="s">
        <v>192</v>
      </c>
      <c r="V116" s="1" t="s">
        <v>193</v>
      </c>
      <c r="W116" s="1" t="s">
        <v>177</v>
      </c>
      <c r="X116" s="1"/>
      <c r="Y116" s="1" t="str">
        <f>"02018003129202068"</f>
        <v>02018003129202068</v>
      </c>
      <c r="Z116" s="1" t="s">
        <v>147</v>
      </c>
      <c r="AA116" s="1" t="s">
        <v>713</v>
      </c>
      <c r="AB116" s="1" t="str">
        <f>"08743903000108"</f>
        <v>08743903000108</v>
      </c>
      <c r="AC116" s="1"/>
      <c r="AD116" s="1"/>
      <c r="AE116" s="1"/>
      <c r="AF116" s="1">
        <v>-48.467224</v>
      </c>
      <c r="AG116" s="1">
        <v>-1.425833</v>
      </c>
      <c r="AH116" s="1" t="s">
        <v>714</v>
      </c>
      <c r="AI116" s="1"/>
      <c r="AJ116" s="1" t="s">
        <v>196</v>
      </c>
      <c r="AK116" s="1"/>
      <c r="AL116" s="1" t="s">
        <v>79</v>
      </c>
      <c r="AM116" s="1" t="s">
        <v>65</v>
      </c>
      <c r="AN116" s="1"/>
      <c r="AO116" s="2">
        <v>44041.0</v>
      </c>
      <c r="AP116" s="2">
        <v>44041.6165509259</v>
      </c>
      <c r="AQ116" s="1" t="s">
        <v>80</v>
      </c>
      <c r="AR116" s="1" t="s">
        <v>181</v>
      </c>
      <c r="AS116" s="1" t="s">
        <v>715</v>
      </c>
      <c r="AT116" s="2">
        <v>44269.931099537</v>
      </c>
    </row>
    <row r="117" ht="13.5" customHeight="1">
      <c r="A117" s="1"/>
      <c r="B117" s="1" t="s">
        <v>46</v>
      </c>
      <c r="C117" s="1" t="s">
        <v>47</v>
      </c>
      <c r="D117" s="1"/>
      <c r="E117" s="1" t="s">
        <v>716</v>
      </c>
      <c r="F117" s="1"/>
      <c r="G117" s="1" t="s">
        <v>49</v>
      </c>
      <c r="H117" s="1" t="s">
        <v>50</v>
      </c>
      <c r="I117" s="1">
        <v>2510500.0</v>
      </c>
      <c r="J117" s="1"/>
      <c r="K117" s="1" t="s">
        <v>140</v>
      </c>
      <c r="L117" s="1"/>
      <c r="M117" s="1" t="s">
        <v>717</v>
      </c>
      <c r="N117" s="1" t="s">
        <v>212</v>
      </c>
      <c r="O117" s="1" t="s">
        <v>213</v>
      </c>
      <c r="P117" s="2">
        <v>43818.5117592593</v>
      </c>
      <c r="Q117" s="1" t="s">
        <v>74</v>
      </c>
      <c r="R117" s="1"/>
      <c r="S117" s="1"/>
      <c r="T117" s="1">
        <v>3205309.0</v>
      </c>
      <c r="U117" s="1" t="s">
        <v>718</v>
      </c>
      <c r="V117" s="1" t="s">
        <v>403</v>
      </c>
      <c r="W117" s="1" t="s">
        <v>288</v>
      </c>
      <c r="X117" s="1"/>
      <c r="Y117" s="1"/>
      <c r="Z117" s="1" t="s">
        <v>215</v>
      </c>
      <c r="AA117" s="1" t="s">
        <v>289</v>
      </c>
      <c r="AB117" s="1" t="str">
        <f>"33000167000101"</f>
        <v>33000167000101</v>
      </c>
      <c r="AC117" s="1"/>
      <c r="AD117" s="1" t="s">
        <v>149</v>
      </c>
      <c r="AE117" s="1"/>
      <c r="AF117" s="1">
        <v>-39.996971</v>
      </c>
      <c r="AG117" s="1">
        <v>-21.203472</v>
      </c>
      <c r="AH117" s="1" t="s">
        <v>719</v>
      </c>
      <c r="AI117" s="1"/>
      <c r="AJ117" s="1" t="s">
        <v>172</v>
      </c>
      <c r="AK117" s="1"/>
      <c r="AL117" s="1"/>
      <c r="AM117" s="1" t="s">
        <v>65</v>
      </c>
      <c r="AN117" s="1" t="s">
        <v>720</v>
      </c>
      <c r="AO117" s="1"/>
      <c r="AP117" s="2">
        <v>44036.7332638889</v>
      </c>
      <c r="AQ117" s="1"/>
      <c r="AR117" s="1" t="s">
        <v>721</v>
      </c>
      <c r="AS117" s="1" t="s">
        <v>722</v>
      </c>
      <c r="AT117" s="2">
        <v>44269.931099537</v>
      </c>
    </row>
    <row r="118" ht="13.5" customHeight="1">
      <c r="A118" s="1">
        <v>2034925.0</v>
      </c>
      <c r="B118" s="1" t="s">
        <v>67</v>
      </c>
      <c r="C118" s="1" t="s">
        <v>68</v>
      </c>
      <c r="D118" s="1" t="s">
        <v>46</v>
      </c>
      <c r="E118" s="1" t="s">
        <v>723</v>
      </c>
      <c r="F118" s="1"/>
      <c r="G118" s="1" t="s">
        <v>70</v>
      </c>
      <c r="H118" s="1" t="s">
        <v>50</v>
      </c>
      <c r="I118" s="1">
        <v>276000.0</v>
      </c>
      <c r="J118" s="1"/>
      <c r="K118" s="1"/>
      <c r="L118" s="1" t="s">
        <v>151</v>
      </c>
      <c r="M118" s="1" t="s">
        <v>724</v>
      </c>
      <c r="N118" s="1" t="s">
        <v>142</v>
      </c>
      <c r="O118" s="1" t="s">
        <v>143</v>
      </c>
      <c r="P118" s="2">
        <v>43818.5</v>
      </c>
      <c r="Q118" s="1" t="s">
        <v>74</v>
      </c>
      <c r="R118" s="3">
        <v>43818.0</v>
      </c>
      <c r="S118" s="1" t="s">
        <v>110</v>
      </c>
      <c r="T118" s="1">
        <v>4302501.0</v>
      </c>
      <c r="U118" s="1" t="s">
        <v>706</v>
      </c>
      <c r="V118" s="1" t="s">
        <v>145</v>
      </c>
      <c r="W118" s="1" t="s">
        <v>146</v>
      </c>
      <c r="X118" s="1"/>
      <c r="Y118" s="1" t="str">
        <f>"02023000056202083"</f>
        <v>02023000056202083</v>
      </c>
      <c r="Z118" s="1" t="s">
        <v>147</v>
      </c>
      <c r="AA118" s="1" t="s">
        <v>707</v>
      </c>
      <c r="AB118" s="1" t="str">
        <f>"***027160**"</f>
        <v>***027160**</v>
      </c>
      <c r="AC118" s="1"/>
      <c r="AD118" s="1"/>
      <c r="AE118" s="1"/>
      <c r="AF118" s="1">
        <v>-54.822502</v>
      </c>
      <c r="AG118" s="1">
        <v>-28.867779</v>
      </c>
      <c r="AH118" s="1" t="s">
        <v>708</v>
      </c>
      <c r="AI118" s="1"/>
      <c r="AJ118" s="1" t="s">
        <v>151</v>
      </c>
      <c r="AK118" s="1"/>
      <c r="AL118" s="1" t="s">
        <v>79</v>
      </c>
      <c r="AM118" s="1" t="s">
        <v>65</v>
      </c>
      <c r="AN118" s="1" t="s">
        <v>709</v>
      </c>
      <c r="AO118" s="2">
        <v>43892.0</v>
      </c>
      <c r="AP118" s="2">
        <v>43892.7081018519</v>
      </c>
      <c r="AQ118" s="1" t="s">
        <v>80</v>
      </c>
      <c r="AR118" s="1" t="s">
        <v>710</v>
      </c>
      <c r="AS118" s="1"/>
      <c r="AT118" s="2">
        <v>44269.931099537</v>
      </c>
    </row>
    <row r="119" ht="13.5" customHeight="1">
      <c r="A119" s="1"/>
      <c r="B119" s="1" t="s">
        <v>46</v>
      </c>
      <c r="C119" s="1" t="s">
        <v>47</v>
      </c>
      <c r="D119" s="1"/>
      <c r="E119" s="1" t="s">
        <v>725</v>
      </c>
      <c r="F119" s="1"/>
      <c r="G119" s="1" t="s">
        <v>49</v>
      </c>
      <c r="H119" s="1" t="s">
        <v>93</v>
      </c>
      <c r="I119" s="1">
        <v>3000.0</v>
      </c>
      <c r="J119" s="1"/>
      <c r="K119" s="1" t="s">
        <v>51</v>
      </c>
      <c r="L119" s="1"/>
      <c r="M119" s="1" t="s">
        <v>726</v>
      </c>
      <c r="N119" s="1" t="s">
        <v>108</v>
      </c>
      <c r="O119" s="1" t="s">
        <v>109</v>
      </c>
      <c r="P119" s="2">
        <v>43818.4799421296</v>
      </c>
      <c r="Q119" s="1" t="s">
        <v>373</v>
      </c>
      <c r="R119" s="1"/>
      <c r="S119" s="1"/>
      <c r="T119" s="1">
        <v>2504009.0</v>
      </c>
      <c r="U119" s="1" t="s">
        <v>727</v>
      </c>
      <c r="V119" s="1" t="s">
        <v>728</v>
      </c>
      <c r="W119" s="1" t="s">
        <v>113</v>
      </c>
      <c r="X119" s="1"/>
      <c r="Y119" s="1"/>
      <c r="Z119" s="1" t="s">
        <v>226</v>
      </c>
      <c r="AA119" s="1" t="s">
        <v>729</v>
      </c>
      <c r="AB119" s="1" t="str">
        <f>"03061134000100"</f>
        <v>03061134000100</v>
      </c>
      <c r="AC119" s="1"/>
      <c r="AD119" s="1" t="s">
        <v>62</v>
      </c>
      <c r="AE119" s="1"/>
      <c r="AF119" s="1">
        <v>-35.996944</v>
      </c>
      <c r="AG119" s="1">
        <v>-7.253889</v>
      </c>
      <c r="AH119" s="1" t="s">
        <v>730</v>
      </c>
      <c r="AI119" s="1"/>
      <c r="AJ119" s="1" t="s">
        <v>731</v>
      </c>
      <c r="AK119" s="1"/>
      <c r="AL119" s="1"/>
      <c r="AM119" s="1" t="s">
        <v>65</v>
      </c>
      <c r="AN119" s="1" t="s">
        <v>732</v>
      </c>
      <c r="AO119" s="1"/>
      <c r="AP119" s="2">
        <v>43818.4849074074</v>
      </c>
      <c r="AQ119" s="1"/>
      <c r="AR119" s="1" t="s">
        <v>153</v>
      </c>
      <c r="AS119" s="1"/>
      <c r="AT119" s="2">
        <v>44269.931099537</v>
      </c>
    </row>
    <row r="120" ht="13.5" customHeight="1">
      <c r="A120" s="1">
        <v>2034667.0</v>
      </c>
      <c r="B120" s="1" t="s">
        <v>67</v>
      </c>
      <c r="C120" s="1" t="s">
        <v>68</v>
      </c>
      <c r="D120" s="1" t="s">
        <v>46</v>
      </c>
      <c r="E120" s="1" t="s">
        <v>733</v>
      </c>
      <c r="F120" s="1"/>
      <c r="G120" s="1" t="s">
        <v>70</v>
      </c>
      <c r="H120" s="1" t="s">
        <v>93</v>
      </c>
      <c r="I120" s="1">
        <v>192.43</v>
      </c>
      <c r="J120" s="1"/>
      <c r="K120" s="1"/>
      <c r="L120" s="1" t="s">
        <v>264</v>
      </c>
      <c r="M120" s="1" t="s">
        <v>734</v>
      </c>
      <c r="N120" s="1" t="s">
        <v>142</v>
      </c>
      <c r="O120" s="1" t="s">
        <v>143</v>
      </c>
      <c r="P120" s="2">
        <v>43818.4583333333</v>
      </c>
      <c r="Q120" s="1" t="s">
        <v>74</v>
      </c>
      <c r="R120" s="3">
        <v>43818.0</v>
      </c>
      <c r="S120" s="1"/>
      <c r="T120" s="1">
        <v>4208203.0</v>
      </c>
      <c r="U120" s="1" t="s">
        <v>735</v>
      </c>
      <c r="V120" s="1" t="s">
        <v>267</v>
      </c>
      <c r="W120" s="1" t="s">
        <v>59</v>
      </c>
      <c r="X120" s="1"/>
      <c r="Y120" s="1" t="str">
        <f>"02026004190201990"</f>
        <v>02026004190201990</v>
      </c>
      <c r="Z120" s="1" t="s">
        <v>147</v>
      </c>
      <c r="AA120" s="1" t="s">
        <v>560</v>
      </c>
      <c r="AB120" s="1" t="str">
        <f>"22435968000264"</f>
        <v>22435968000264</v>
      </c>
      <c r="AC120" s="1"/>
      <c r="AD120" s="1"/>
      <c r="AE120" s="1"/>
      <c r="AF120" s="1">
        <v>-48.670002</v>
      </c>
      <c r="AG120" s="1">
        <v>-26.918888</v>
      </c>
      <c r="AH120" s="1" t="s">
        <v>736</v>
      </c>
      <c r="AI120" s="1"/>
      <c r="AJ120" s="1" t="s">
        <v>264</v>
      </c>
      <c r="AK120" s="1"/>
      <c r="AL120" s="1" t="s">
        <v>79</v>
      </c>
      <c r="AM120" s="1" t="s">
        <v>65</v>
      </c>
      <c r="AN120" s="1" t="s">
        <v>152</v>
      </c>
      <c r="AO120" s="2">
        <v>43889.0</v>
      </c>
      <c r="AP120" s="2">
        <v>43889.5249305556</v>
      </c>
      <c r="AQ120" s="1" t="s">
        <v>80</v>
      </c>
      <c r="AR120" s="1" t="s">
        <v>181</v>
      </c>
      <c r="AS120" s="1" t="s">
        <v>737</v>
      </c>
      <c r="AT120" s="2">
        <v>44269.931099537</v>
      </c>
    </row>
    <row r="121" ht="13.5" customHeight="1">
      <c r="A121" s="1">
        <v>2034923.0</v>
      </c>
      <c r="B121" s="1" t="s">
        <v>67</v>
      </c>
      <c r="C121" s="1" t="s">
        <v>68</v>
      </c>
      <c r="D121" s="1" t="s">
        <v>46</v>
      </c>
      <c r="E121" s="1" t="s">
        <v>738</v>
      </c>
      <c r="F121" s="1"/>
      <c r="G121" s="1" t="s">
        <v>70</v>
      </c>
      <c r="H121" s="1" t="s">
        <v>50</v>
      </c>
      <c r="I121" s="1">
        <v>100000.0</v>
      </c>
      <c r="J121" s="1"/>
      <c r="K121" s="1"/>
      <c r="L121" s="1" t="s">
        <v>151</v>
      </c>
      <c r="M121" s="1" t="s">
        <v>739</v>
      </c>
      <c r="N121" s="1" t="s">
        <v>53</v>
      </c>
      <c r="O121" s="1" t="s">
        <v>54</v>
      </c>
      <c r="P121" s="2">
        <v>43818.4583333333</v>
      </c>
      <c r="Q121" s="1" t="s">
        <v>74</v>
      </c>
      <c r="R121" s="3">
        <v>43818.0</v>
      </c>
      <c r="S121" s="1"/>
      <c r="T121" s="1">
        <v>4321501.0</v>
      </c>
      <c r="U121" s="1" t="s">
        <v>740</v>
      </c>
      <c r="V121" s="1" t="s">
        <v>145</v>
      </c>
      <c r="W121" s="1" t="s">
        <v>288</v>
      </c>
      <c r="X121" s="1"/>
      <c r="Y121" s="1" t="str">
        <f>"02023000030202035"</f>
        <v>02023000030202035</v>
      </c>
      <c r="Z121" s="1" t="s">
        <v>60</v>
      </c>
      <c r="AA121" s="1" t="s">
        <v>741</v>
      </c>
      <c r="AB121" s="1" t="str">
        <f t="shared" ref="AB121:AB122" si="7">"***753489**"</f>
        <v>***753489**</v>
      </c>
      <c r="AC121" s="1"/>
      <c r="AD121" s="1"/>
      <c r="AE121" s="1"/>
      <c r="AF121" s="1">
        <v>-49.636948</v>
      </c>
      <c r="AG121" s="1">
        <v>-29.499166</v>
      </c>
      <c r="AH121" s="1" t="s">
        <v>675</v>
      </c>
      <c r="AI121" s="1"/>
      <c r="AJ121" s="1" t="s">
        <v>151</v>
      </c>
      <c r="AK121" s="1"/>
      <c r="AL121" s="1" t="s">
        <v>79</v>
      </c>
      <c r="AM121" s="1" t="s">
        <v>65</v>
      </c>
      <c r="AN121" s="1" t="s">
        <v>152</v>
      </c>
      <c r="AO121" s="2">
        <v>43892.0</v>
      </c>
      <c r="AP121" s="2">
        <v>43892.7077777778</v>
      </c>
      <c r="AQ121" s="1" t="s">
        <v>80</v>
      </c>
      <c r="AR121" s="1" t="s">
        <v>676</v>
      </c>
      <c r="AS121" s="1" t="s">
        <v>742</v>
      </c>
      <c r="AT121" s="2">
        <v>44269.931099537</v>
      </c>
    </row>
    <row r="122" ht="13.5" customHeight="1">
      <c r="A122" s="1">
        <v>2034924.0</v>
      </c>
      <c r="B122" s="1" t="s">
        <v>67</v>
      </c>
      <c r="C122" s="1" t="s">
        <v>68</v>
      </c>
      <c r="D122" s="1" t="s">
        <v>46</v>
      </c>
      <c r="E122" s="1" t="s">
        <v>743</v>
      </c>
      <c r="F122" s="1"/>
      <c r="G122" s="1" t="s">
        <v>70</v>
      </c>
      <c r="H122" s="1" t="s">
        <v>50</v>
      </c>
      <c r="I122" s="1">
        <v>100000.0</v>
      </c>
      <c r="J122" s="1"/>
      <c r="K122" s="1"/>
      <c r="L122" s="1" t="s">
        <v>151</v>
      </c>
      <c r="M122" s="1" t="s">
        <v>744</v>
      </c>
      <c r="N122" s="1" t="s">
        <v>53</v>
      </c>
      <c r="O122" s="1" t="s">
        <v>54</v>
      </c>
      <c r="P122" s="2">
        <v>43818.4583333333</v>
      </c>
      <c r="Q122" s="1" t="s">
        <v>74</v>
      </c>
      <c r="R122" s="3">
        <v>43818.0</v>
      </c>
      <c r="S122" s="1"/>
      <c r="T122" s="1">
        <v>4321501.0</v>
      </c>
      <c r="U122" s="1" t="s">
        <v>740</v>
      </c>
      <c r="V122" s="1" t="s">
        <v>145</v>
      </c>
      <c r="W122" s="1" t="s">
        <v>288</v>
      </c>
      <c r="X122" s="1"/>
      <c r="Y122" s="1" t="str">
        <f>"02023000031202080"</f>
        <v>02023000031202080</v>
      </c>
      <c r="Z122" s="1" t="s">
        <v>60</v>
      </c>
      <c r="AA122" s="1" t="s">
        <v>741</v>
      </c>
      <c r="AB122" s="1" t="str">
        <f t="shared" si="7"/>
        <v>***753489**</v>
      </c>
      <c r="AC122" s="1"/>
      <c r="AD122" s="1"/>
      <c r="AE122" s="1"/>
      <c r="AF122" s="1">
        <v>-49.668056</v>
      </c>
      <c r="AG122" s="1">
        <v>-29.570557</v>
      </c>
      <c r="AH122" s="1" t="s">
        <v>675</v>
      </c>
      <c r="AI122" s="1"/>
      <c r="AJ122" s="1" t="s">
        <v>151</v>
      </c>
      <c r="AK122" s="1"/>
      <c r="AL122" s="1" t="s">
        <v>79</v>
      </c>
      <c r="AM122" s="1" t="s">
        <v>65</v>
      </c>
      <c r="AN122" s="1" t="s">
        <v>152</v>
      </c>
      <c r="AO122" s="2">
        <v>43892.0</v>
      </c>
      <c r="AP122" s="2">
        <v>43892.7079282407</v>
      </c>
      <c r="AQ122" s="1" t="s">
        <v>80</v>
      </c>
      <c r="AR122" s="1" t="s">
        <v>676</v>
      </c>
      <c r="AS122" s="1" t="s">
        <v>745</v>
      </c>
      <c r="AT122" s="2">
        <v>44269.931099537</v>
      </c>
    </row>
    <row r="123" ht="13.5" customHeight="1">
      <c r="A123" s="1"/>
      <c r="B123" s="1" t="s">
        <v>46</v>
      </c>
      <c r="C123" s="1" t="s">
        <v>47</v>
      </c>
      <c r="D123" s="1"/>
      <c r="E123" s="1" t="s">
        <v>746</v>
      </c>
      <c r="F123" s="1"/>
      <c r="G123" s="1" t="s">
        <v>49</v>
      </c>
      <c r="H123" s="1" t="s">
        <v>93</v>
      </c>
      <c r="I123" s="1">
        <v>79500.0</v>
      </c>
      <c r="J123" s="1"/>
      <c r="K123" s="1"/>
      <c r="L123" s="1"/>
      <c r="M123" s="1" t="s">
        <v>747</v>
      </c>
      <c r="N123" s="1" t="s">
        <v>212</v>
      </c>
      <c r="O123" s="1" t="s">
        <v>213</v>
      </c>
      <c r="P123" s="2">
        <v>43818.4249421296</v>
      </c>
      <c r="Q123" s="1" t="s">
        <v>74</v>
      </c>
      <c r="R123" s="1"/>
      <c r="S123" s="1"/>
      <c r="T123" s="1">
        <v>4203808.0</v>
      </c>
      <c r="U123" s="1" t="s">
        <v>748</v>
      </c>
      <c r="V123" s="1" t="s">
        <v>267</v>
      </c>
      <c r="W123" s="1" t="s">
        <v>59</v>
      </c>
      <c r="X123" s="1"/>
      <c r="Y123" s="1"/>
      <c r="Z123" s="1" t="s">
        <v>215</v>
      </c>
      <c r="AA123" s="1" t="s">
        <v>749</v>
      </c>
      <c r="AB123" s="1" t="str">
        <f t="shared" ref="AB123:AB124" si="8">"07114999000149"</f>
        <v>07114999000149</v>
      </c>
      <c r="AC123" s="1"/>
      <c r="AD123" s="1" t="s">
        <v>149</v>
      </c>
      <c r="AE123" s="1"/>
      <c r="AF123" s="1">
        <v>-50.403446</v>
      </c>
      <c r="AG123" s="1">
        <v>-26.193748</v>
      </c>
      <c r="AH123" s="1" t="s">
        <v>750</v>
      </c>
      <c r="AI123" s="1"/>
      <c r="AJ123" s="1" t="s">
        <v>172</v>
      </c>
      <c r="AK123" s="1"/>
      <c r="AL123" s="1"/>
      <c r="AM123" s="1" t="s">
        <v>65</v>
      </c>
      <c r="AN123" s="1" t="s">
        <v>720</v>
      </c>
      <c r="AO123" s="1"/>
      <c r="AP123" s="2">
        <v>44036.7333796296</v>
      </c>
      <c r="AQ123" s="1"/>
      <c r="AR123" s="1" t="s">
        <v>751</v>
      </c>
      <c r="AS123" s="1"/>
      <c r="AT123" s="2">
        <v>44269.931099537</v>
      </c>
    </row>
    <row r="124" ht="13.5" customHeight="1">
      <c r="A124" s="1"/>
      <c r="B124" s="1" t="s">
        <v>46</v>
      </c>
      <c r="C124" s="1" t="s">
        <v>47</v>
      </c>
      <c r="D124" s="1"/>
      <c r="E124" s="1" t="s">
        <v>752</v>
      </c>
      <c r="F124" s="1"/>
      <c r="G124" s="1" t="s">
        <v>49</v>
      </c>
      <c r="H124" s="1" t="s">
        <v>50</v>
      </c>
      <c r="I124" s="1">
        <v>50500.0</v>
      </c>
      <c r="J124" s="1"/>
      <c r="K124" s="1" t="s">
        <v>51</v>
      </c>
      <c r="L124" s="1"/>
      <c r="M124" s="1" t="s">
        <v>753</v>
      </c>
      <c r="N124" s="1" t="s">
        <v>212</v>
      </c>
      <c r="O124" s="1" t="s">
        <v>213</v>
      </c>
      <c r="P124" s="2">
        <v>43818.4171759259</v>
      </c>
      <c r="Q124" s="1" t="s">
        <v>74</v>
      </c>
      <c r="R124" s="1"/>
      <c r="S124" s="1"/>
      <c r="T124" s="1">
        <v>4203808.0</v>
      </c>
      <c r="U124" s="1" t="s">
        <v>748</v>
      </c>
      <c r="V124" s="1" t="s">
        <v>267</v>
      </c>
      <c r="W124" s="1" t="s">
        <v>59</v>
      </c>
      <c r="X124" s="1"/>
      <c r="Y124" s="1"/>
      <c r="Z124" s="1" t="s">
        <v>215</v>
      </c>
      <c r="AA124" s="1" t="s">
        <v>749</v>
      </c>
      <c r="AB124" s="1" t="str">
        <f t="shared" si="8"/>
        <v>07114999000149</v>
      </c>
      <c r="AC124" s="1"/>
      <c r="AD124" s="1" t="s">
        <v>149</v>
      </c>
      <c r="AE124" s="1"/>
      <c r="AF124" s="1">
        <v>-50.403446</v>
      </c>
      <c r="AG124" s="1">
        <v>-26.193748</v>
      </c>
      <c r="AH124" s="1" t="s">
        <v>754</v>
      </c>
      <c r="AI124" s="1"/>
      <c r="AJ124" s="1" t="s">
        <v>172</v>
      </c>
      <c r="AK124" s="1"/>
      <c r="AL124" s="1"/>
      <c r="AM124" s="1" t="s">
        <v>65</v>
      </c>
      <c r="AN124" s="1" t="s">
        <v>720</v>
      </c>
      <c r="AO124" s="1"/>
      <c r="AP124" s="2">
        <v>44036.7334722222</v>
      </c>
      <c r="AQ124" s="1"/>
      <c r="AR124" s="1" t="s">
        <v>721</v>
      </c>
      <c r="AS124" s="1" t="s">
        <v>722</v>
      </c>
      <c r="AT124" s="2">
        <v>44269.931099537</v>
      </c>
    </row>
    <row r="125" ht="13.5" customHeight="1">
      <c r="A125" s="1">
        <v>2034922.0</v>
      </c>
      <c r="B125" s="1" t="s">
        <v>67</v>
      </c>
      <c r="C125" s="1" t="s">
        <v>68</v>
      </c>
      <c r="D125" s="1" t="s">
        <v>46</v>
      </c>
      <c r="E125" s="1" t="s">
        <v>755</v>
      </c>
      <c r="F125" s="1"/>
      <c r="G125" s="1" t="s">
        <v>70</v>
      </c>
      <c r="H125" s="1" t="s">
        <v>50</v>
      </c>
      <c r="I125" s="1">
        <v>100000.0</v>
      </c>
      <c r="J125" s="1"/>
      <c r="K125" s="1"/>
      <c r="L125" s="1" t="s">
        <v>151</v>
      </c>
      <c r="M125" s="1" t="s">
        <v>756</v>
      </c>
      <c r="N125" s="1" t="s">
        <v>53</v>
      </c>
      <c r="O125" s="1" t="s">
        <v>54</v>
      </c>
      <c r="P125" s="2">
        <v>43818.4166666667</v>
      </c>
      <c r="Q125" s="1" t="s">
        <v>74</v>
      </c>
      <c r="R125" s="3">
        <v>43818.0</v>
      </c>
      <c r="S125" s="1"/>
      <c r="T125" s="1">
        <v>4301636.0</v>
      </c>
      <c r="U125" s="1" t="s">
        <v>757</v>
      </c>
      <c r="V125" s="1" t="s">
        <v>145</v>
      </c>
      <c r="W125" s="1" t="s">
        <v>288</v>
      </c>
      <c r="X125" s="1"/>
      <c r="Y125" s="1" t="str">
        <f>"02023000029202019"</f>
        <v>02023000029202019</v>
      </c>
      <c r="Z125" s="1" t="s">
        <v>60</v>
      </c>
      <c r="AA125" s="1" t="s">
        <v>758</v>
      </c>
      <c r="AB125" s="1" t="str">
        <f>"***661369**"</f>
        <v>***661369**</v>
      </c>
      <c r="AC125" s="1"/>
      <c r="AD125" s="1"/>
      <c r="AE125" s="1"/>
      <c r="AF125" s="1">
        <v>-50.206944</v>
      </c>
      <c r="AG125" s="1">
        <v>-30.578056</v>
      </c>
      <c r="AH125" s="1" t="s">
        <v>759</v>
      </c>
      <c r="AI125" s="1"/>
      <c r="AJ125" s="1" t="s">
        <v>151</v>
      </c>
      <c r="AK125" s="1"/>
      <c r="AL125" s="1" t="s">
        <v>79</v>
      </c>
      <c r="AM125" s="1" t="s">
        <v>65</v>
      </c>
      <c r="AN125" s="1" t="s">
        <v>152</v>
      </c>
      <c r="AO125" s="2">
        <v>43892.0</v>
      </c>
      <c r="AP125" s="2">
        <v>43892.707650463</v>
      </c>
      <c r="AQ125" s="1" t="s">
        <v>80</v>
      </c>
      <c r="AR125" s="1" t="s">
        <v>676</v>
      </c>
      <c r="AS125" s="1" t="s">
        <v>742</v>
      </c>
      <c r="AT125" s="2">
        <v>44269.931099537</v>
      </c>
    </row>
    <row r="126" ht="13.5" customHeight="1">
      <c r="A126" s="1"/>
      <c r="B126" s="1" t="s">
        <v>46</v>
      </c>
      <c r="C126" s="1" t="s">
        <v>47</v>
      </c>
      <c r="D126" s="1"/>
      <c r="E126" s="1" t="s">
        <v>760</v>
      </c>
      <c r="F126" s="1"/>
      <c r="G126" s="1" t="s">
        <v>49</v>
      </c>
      <c r="H126" s="1" t="s">
        <v>93</v>
      </c>
      <c r="I126" s="1">
        <v>115000.0</v>
      </c>
      <c r="J126" s="1"/>
      <c r="K126" s="1"/>
      <c r="L126" s="1"/>
      <c r="M126" s="1" t="s">
        <v>761</v>
      </c>
      <c r="N126" s="1" t="s">
        <v>95</v>
      </c>
      <c r="O126" s="1" t="s">
        <v>96</v>
      </c>
      <c r="P126" s="2">
        <v>43818.3413078704</v>
      </c>
      <c r="Q126" s="1" t="s">
        <v>373</v>
      </c>
      <c r="R126" s="1"/>
      <c r="S126" s="1"/>
      <c r="T126" s="1">
        <v>1505106.0</v>
      </c>
      <c r="U126" s="1" t="s">
        <v>762</v>
      </c>
      <c r="V126" s="1" t="s">
        <v>193</v>
      </c>
      <c r="W126" s="1" t="s">
        <v>177</v>
      </c>
      <c r="X126" s="1"/>
      <c r="Y126" s="1"/>
      <c r="Z126" s="1" t="s">
        <v>98</v>
      </c>
      <c r="AA126" s="1" t="s">
        <v>763</v>
      </c>
      <c r="AB126" s="1" t="str">
        <f>"63873384000177"</f>
        <v>63873384000177</v>
      </c>
      <c r="AC126" s="1"/>
      <c r="AD126" s="1" t="s">
        <v>149</v>
      </c>
      <c r="AE126" s="1"/>
      <c r="AF126" s="1">
        <v>-55.518055</v>
      </c>
      <c r="AG126" s="1">
        <v>-1.916111</v>
      </c>
      <c r="AH126" s="1" t="s">
        <v>764</v>
      </c>
      <c r="AI126" s="1"/>
      <c r="AJ126" s="1" t="s">
        <v>765</v>
      </c>
      <c r="AK126" s="1"/>
      <c r="AL126" s="1"/>
      <c r="AM126" s="1" t="s">
        <v>65</v>
      </c>
      <c r="AN126" s="1" t="s">
        <v>766</v>
      </c>
      <c r="AO126" s="1"/>
      <c r="AP126" s="2">
        <v>43818.3524074074</v>
      </c>
      <c r="AQ126" s="1"/>
      <c r="AR126" s="1" t="s">
        <v>767</v>
      </c>
      <c r="AS126" s="1"/>
      <c r="AT126" s="2">
        <v>44269.931099537</v>
      </c>
    </row>
    <row r="127" ht="13.5" customHeight="1">
      <c r="A127" s="1">
        <v>2035262.0</v>
      </c>
      <c r="B127" s="1" t="s">
        <v>67</v>
      </c>
      <c r="C127" s="1" t="s">
        <v>68</v>
      </c>
      <c r="D127" s="1" t="s">
        <v>46</v>
      </c>
      <c r="E127" s="1" t="s">
        <v>768</v>
      </c>
      <c r="F127" s="1"/>
      <c r="G127" s="1" t="s">
        <v>70</v>
      </c>
      <c r="H127" s="1" t="s">
        <v>50</v>
      </c>
      <c r="I127" s="1">
        <v>3000.0</v>
      </c>
      <c r="J127" s="1"/>
      <c r="K127" s="1"/>
      <c r="L127" s="1" t="s">
        <v>731</v>
      </c>
      <c r="M127" s="1" t="s">
        <v>769</v>
      </c>
      <c r="N127" s="1" t="s">
        <v>108</v>
      </c>
      <c r="O127" s="1" t="s">
        <v>109</v>
      </c>
      <c r="P127" s="2">
        <v>43818.3333333333</v>
      </c>
      <c r="Q127" s="1" t="s">
        <v>373</v>
      </c>
      <c r="R127" s="3">
        <v>43818.0</v>
      </c>
      <c r="S127" s="1"/>
      <c r="T127" s="1">
        <v>2504009.0</v>
      </c>
      <c r="U127" s="1" t="s">
        <v>727</v>
      </c>
      <c r="V127" s="1" t="s">
        <v>728</v>
      </c>
      <c r="W127" s="1" t="s">
        <v>113</v>
      </c>
      <c r="X127" s="1"/>
      <c r="Y127" s="1" t="str">
        <f>"02016000646202003"</f>
        <v>02016000646202003</v>
      </c>
      <c r="Z127" s="1" t="s">
        <v>226</v>
      </c>
      <c r="AA127" s="1" t="s">
        <v>770</v>
      </c>
      <c r="AB127" s="1" t="str">
        <f>"05483878000149"</f>
        <v>05483878000149</v>
      </c>
      <c r="AC127" s="1"/>
      <c r="AD127" s="1"/>
      <c r="AE127" s="1"/>
      <c r="AF127" s="1">
        <v>-35.913055</v>
      </c>
      <c r="AG127" s="1">
        <v>-7.224167</v>
      </c>
      <c r="AH127" s="1" t="s">
        <v>771</v>
      </c>
      <c r="AI127" s="1"/>
      <c r="AJ127" s="1" t="s">
        <v>731</v>
      </c>
      <c r="AK127" s="1"/>
      <c r="AL127" s="1" t="s">
        <v>79</v>
      </c>
      <c r="AM127" s="1" t="s">
        <v>65</v>
      </c>
      <c r="AN127" s="1" t="s">
        <v>732</v>
      </c>
      <c r="AO127" s="2">
        <v>43899.0</v>
      </c>
      <c r="AP127" s="2">
        <v>43899.6234143519</v>
      </c>
      <c r="AQ127" s="1" t="s">
        <v>80</v>
      </c>
      <c r="AR127" s="1" t="s">
        <v>81</v>
      </c>
      <c r="AS127" s="1"/>
      <c r="AT127" s="2">
        <v>44269.931099537</v>
      </c>
    </row>
    <row r="128" ht="13.5" customHeight="1">
      <c r="A128" s="1"/>
      <c r="B128" s="1" t="s">
        <v>46</v>
      </c>
      <c r="C128" s="1" t="s">
        <v>47</v>
      </c>
      <c r="D128" s="1"/>
      <c r="E128" s="1" t="s">
        <v>772</v>
      </c>
      <c r="F128" s="1"/>
      <c r="G128" s="1" t="s">
        <v>49</v>
      </c>
      <c r="H128" s="1" t="s">
        <v>50</v>
      </c>
      <c r="I128" s="1">
        <v>26000.0</v>
      </c>
      <c r="J128" s="1"/>
      <c r="K128" s="1" t="s">
        <v>51</v>
      </c>
      <c r="L128" s="1"/>
      <c r="M128" s="1" t="s">
        <v>773</v>
      </c>
      <c r="N128" s="1" t="s">
        <v>283</v>
      </c>
      <c r="O128" s="1" t="s">
        <v>284</v>
      </c>
      <c r="P128" s="2">
        <v>43817.8955092593</v>
      </c>
      <c r="Q128" s="1" t="s">
        <v>74</v>
      </c>
      <c r="R128" s="1"/>
      <c r="S128" s="1"/>
      <c r="T128" s="1">
        <v>3304557.0</v>
      </c>
      <c r="U128" s="1" t="s">
        <v>286</v>
      </c>
      <c r="V128" s="1" t="s">
        <v>287</v>
      </c>
      <c r="W128" s="1" t="s">
        <v>288</v>
      </c>
      <c r="X128" s="1"/>
      <c r="Y128" s="1"/>
      <c r="Z128" s="1"/>
      <c r="AA128" s="1" t="s">
        <v>289</v>
      </c>
      <c r="AB128" s="1" t="str">
        <f t="shared" ref="AB128:AB132" si="9">"33000167000101"</f>
        <v>33000167000101</v>
      </c>
      <c r="AC128" s="1"/>
      <c r="AD128" s="1" t="s">
        <v>149</v>
      </c>
      <c r="AE128" s="1"/>
      <c r="AF128" s="1">
        <v>-43.175003</v>
      </c>
      <c r="AG128" s="1">
        <v>-22.903055</v>
      </c>
      <c r="AH128" s="1" t="s">
        <v>290</v>
      </c>
      <c r="AI128" s="1"/>
      <c r="AJ128" s="1" t="s">
        <v>291</v>
      </c>
      <c r="AK128" s="1"/>
      <c r="AL128" s="1"/>
      <c r="AM128" s="1" t="s">
        <v>65</v>
      </c>
      <c r="AN128" s="1" t="s">
        <v>292</v>
      </c>
      <c r="AO128" s="1"/>
      <c r="AP128" s="2">
        <v>44193.5909953704</v>
      </c>
      <c r="AQ128" s="1"/>
      <c r="AR128" s="1" t="s">
        <v>293</v>
      </c>
      <c r="AS128" s="1" t="s">
        <v>774</v>
      </c>
      <c r="AT128" s="2">
        <v>44269.931099537</v>
      </c>
    </row>
    <row r="129" ht="13.5" customHeight="1">
      <c r="A129" s="1">
        <v>2037384.0</v>
      </c>
      <c r="B129" s="1" t="s">
        <v>67</v>
      </c>
      <c r="C129" s="1" t="s">
        <v>68</v>
      </c>
      <c r="D129" s="1" t="s">
        <v>46</v>
      </c>
      <c r="E129" s="1" t="s">
        <v>775</v>
      </c>
      <c r="F129" s="1"/>
      <c r="G129" s="1" t="s">
        <v>70</v>
      </c>
      <c r="H129" s="1" t="s">
        <v>50</v>
      </c>
      <c r="I129" s="1">
        <v>26000.0</v>
      </c>
      <c r="J129" s="1"/>
      <c r="K129" s="1"/>
      <c r="L129" s="1" t="s">
        <v>291</v>
      </c>
      <c r="M129" s="1" t="s">
        <v>776</v>
      </c>
      <c r="N129" s="1" t="s">
        <v>283</v>
      </c>
      <c r="O129" s="1" t="s">
        <v>284</v>
      </c>
      <c r="P129" s="2">
        <v>43817.875</v>
      </c>
      <c r="Q129" s="1" t="s">
        <v>74</v>
      </c>
      <c r="R129" s="3">
        <v>44004.0</v>
      </c>
      <c r="S129" s="1"/>
      <c r="T129" s="1">
        <v>3304557.0</v>
      </c>
      <c r="U129" s="1" t="s">
        <v>286</v>
      </c>
      <c r="V129" s="1" t="s">
        <v>287</v>
      </c>
      <c r="W129" s="1" t="s">
        <v>288</v>
      </c>
      <c r="X129" s="1"/>
      <c r="Y129" s="1" t="str">
        <f>"02022005244201974"</f>
        <v>02022005244201974</v>
      </c>
      <c r="Z129" s="1" t="s">
        <v>128</v>
      </c>
      <c r="AA129" s="1" t="s">
        <v>289</v>
      </c>
      <c r="AB129" s="1" t="str">
        <f t="shared" si="9"/>
        <v>33000167000101</v>
      </c>
      <c r="AC129" s="1"/>
      <c r="AD129" s="1"/>
      <c r="AE129" s="1"/>
      <c r="AF129" s="1">
        <v>-43.175003</v>
      </c>
      <c r="AG129" s="1">
        <v>-22.903055</v>
      </c>
      <c r="AH129" s="1" t="s">
        <v>290</v>
      </c>
      <c r="AI129" s="1"/>
      <c r="AJ129" s="1" t="s">
        <v>291</v>
      </c>
      <c r="AK129" s="1"/>
      <c r="AL129" s="1" t="s">
        <v>79</v>
      </c>
      <c r="AM129" s="1" t="s">
        <v>65</v>
      </c>
      <c r="AN129" s="1" t="s">
        <v>292</v>
      </c>
      <c r="AO129" s="2">
        <v>43994.0</v>
      </c>
      <c r="AP129" s="2">
        <v>43994.527974537</v>
      </c>
      <c r="AQ129" s="1" t="s">
        <v>80</v>
      </c>
      <c r="AR129" s="1" t="s">
        <v>298</v>
      </c>
      <c r="AS129" s="1" t="s">
        <v>777</v>
      </c>
      <c r="AT129" s="2">
        <v>44269.931099537</v>
      </c>
    </row>
    <row r="130" ht="13.5" customHeight="1">
      <c r="A130" s="1">
        <v>2037385.0</v>
      </c>
      <c r="B130" s="1" t="s">
        <v>67</v>
      </c>
      <c r="C130" s="1" t="s">
        <v>68</v>
      </c>
      <c r="D130" s="1" t="s">
        <v>46</v>
      </c>
      <c r="E130" s="1" t="s">
        <v>778</v>
      </c>
      <c r="F130" s="1"/>
      <c r="G130" s="1" t="s">
        <v>70</v>
      </c>
      <c r="H130" s="1" t="s">
        <v>50</v>
      </c>
      <c r="I130" s="1">
        <v>26000.0</v>
      </c>
      <c r="J130" s="1"/>
      <c r="K130" s="1"/>
      <c r="L130" s="1" t="s">
        <v>291</v>
      </c>
      <c r="M130" s="1" t="s">
        <v>779</v>
      </c>
      <c r="N130" s="1" t="s">
        <v>283</v>
      </c>
      <c r="O130" s="1" t="s">
        <v>284</v>
      </c>
      <c r="P130" s="2">
        <v>43817.8333333333</v>
      </c>
      <c r="Q130" s="1" t="s">
        <v>74</v>
      </c>
      <c r="R130" s="3">
        <v>44004.0</v>
      </c>
      <c r="S130" s="1"/>
      <c r="T130" s="1">
        <v>3304557.0</v>
      </c>
      <c r="U130" s="1" t="s">
        <v>286</v>
      </c>
      <c r="V130" s="1" t="s">
        <v>287</v>
      </c>
      <c r="W130" s="1" t="s">
        <v>288</v>
      </c>
      <c r="X130" s="1"/>
      <c r="Y130" s="1" t="str">
        <f>"02022005252201911"</f>
        <v>02022005252201911</v>
      </c>
      <c r="Z130" s="1" t="s">
        <v>128</v>
      </c>
      <c r="AA130" s="1" t="s">
        <v>289</v>
      </c>
      <c r="AB130" s="1" t="str">
        <f t="shared" si="9"/>
        <v>33000167000101</v>
      </c>
      <c r="AC130" s="1"/>
      <c r="AD130" s="1"/>
      <c r="AE130" s="1"/>
      <c r="AF130" s="1">
        <v>-43.175003</v>
      </c>
      <c r="AG130" s="1">
        <v>-22.903055</v>
      </c>
      <c r="AH130" s="1" t="s">
        <v>290</v>
      </c>
      <c r="AI130" s="1"/>
      <c r="AJ130" s="1" t="s">
        <v>291</v>
      </c>
      <c r="AK130" s="1"/>
      <c r="AL130" s="1" t="s">
        <v>79</v>
      </c>
      <c r="AM130" s="1" t="s">
        <v>65</v>
      </c>
      <c r="AN130" s="1" t="s">
        <v>292</v>
      </c>
      <c r="AO130" s="2">
        <v>43994.0</v>
      </c>
      <c r="AP130" s="2">
        <v>43994.5353935185</v>
      </c>
      <c r="AQ130" s="1" t="s">
        <v>80</v>
      </c>
      <c r="AR130" s="1" t="s">
        <v>298</v>
      </c>
      <c r="AS130" s="1" t="s">
        <v>774</v>
      </c>
      <c r="AT130" s="2">
        <v>44269.931099537</v>
      </c>
    </row>
    <row r="131" ht="13.5" customHeight="1">
      <c r="A131" s="1">
        <v>2037389.0</v>
      </c>
      <c r="B131" s="1" t="s">
        <v>67</v>
      </c>
      <c r="C131" s="1" t="s">
        <v>68</v>
      </c>
      <c r="D131" s="1" t="s">
        <v>46</v>
      </c>
      <c r="E131" s="1" t="s">
        <v>780</v>
      </c>
      <c r="F131" s="1"/>
      <c r="G131" s="1" t="s">
        <v>70</v>
      </c>
      <c r="H131" s="1" t="s">
        <v>50</v>
      </c>
      <c r="I131" s="1">
        <v>26000.0</v>
      </c>
      <c r="J131" s="1"/>
      <c r="K131" s="1"/>
      <c r="L131" s="1" t="s">
        <v>291</v>
      </c>
      <c r="M131" s="1" t="s">
        <v>781</v>
      </c>
      <c r="N131" s="1" t="s">
        <v>283</v>
      </c>
      <c r="O131" s="1" t="s">
        <v>284</v>
      </c>
      <c r="P131" s="2">
        <v>43817.8333333333</v>
      </c>
      <c r="Q131" s="1" t="s">
        <v>74</v>
      </c>
      <c r="R131" s="3">
        <v>44004.0</v>
      </c>
      <c r="S131" s="1"/>
      <c r="T131" s="1">
        <v>3304557.0</v>
      </c>
      <c r="U131" s="1" t="s">
        <v>286</v>
      </c>
      <c r="V131" s="1" t="s">
        <v>287</v>
      </c>
      <c r="W131" s="1" t="s">
        <v>288</v>
      </c>
      <c r="X131" s="1"/>
      <c r="Y131" s="1" t="str">
        <f>"02022005241201931"</f>
        <v>02022005241201931</v>
      </c>
      <c r="Z131" s="1" t="s">
        <v>128</v>
      </c>
      <c r="AA131" s="1" t="s">
        <v>289</v>
      </c>
      <c r="AB131" s="1" t="str">
        <f t="shared" si="9"/>
        <v>33000167000101</v>
      </c>
      <c r="AC131" s="1"/>
      <c r="AD131" s="1"/>
      <c r="AE131" s="1"/>
      <c r="AF131" s="1">
        <v>-43.175003</v>
      </c>
      <c r="AG131" s="1">
        <v>-22.903055</v>
      </c>
      <c r="AH131" s="1" t="s">
        <v>290</v>
      </c>
      <c r="AI131" s="1"/>
      <c r="AJ131" s="1" t="s">
        <v>291</v>
      </c>
      <c r="AK131" s="1"/>
      <c r="AL131" s="1" t="s">
        <v>79</v>
      </c>
      <c r="AM131" s="1" t="s">
        <v>65</v>
      </c>
      <c r="AN131" s="1" t="s">
        <v>292</v>
      </c>
      <c r="AO131" s="2">
        <v>43994.0</v>
      </c>
      <c r="AP131" s="2">
        <v>43994.5413888889</v>
      </c>
      <c r="AQ131" s="1" t="s">
        <v>80</v>
      </c>
      <c r="AR131" s="1" t="s">
        <v>298</v>
      </c>
      <c r="AS131" s="1" t="s">
        <v>774</v>
      </c>
      <c r="AT131" s="2">
        <v>44269.931099537</v>
      </c>
    </row>
    <row r="132" ht="13.5" customHeight="1">
      <c r="A132" s="1">
        <v>2037390.0</v>
      </c>
      <c r="B132" s="1" t="s">
        <v>67</v>
      </c>
      <c r="C132" s="1" t="s">
        <v>68</v>
      </c>
      <c r="D132" s="1" t="s">
        <v>46</v>
      </c>
      <c r="E132" s="1" t="s">
        <v>782</v>
      </c>
      <c r="F132" s="1"/>
      <c r="G132" s="1" t="s">
        <v>70</v>
      </c>
      <c r="H132" s="1" t="s">
        <v>50</v>
      </c>
      <c r="I132" s="1">
        <v>26000.0</v>
      </c>
      <c r="J132" s="1"/>
      <c r="K132" s="1"/>
      <c r="L132" s="1" t="s">
        <v>291</v>
      </c>
      <c r="M132" s="1" t="s">
        <v>783</v>
      </c>
      <c r="N132" s="1" t="s">
        <v>283</v>
      </c>
      <c r="O132" s="1" t="s">
        <v>284</v>
      </c>
      <c r="P132" s="2">
        <v>43817.8333333333</v>
      </c>
      <c r="Q132" s="1" t="s">
        <v>74</v>
      </c>
      <c r="R132" s="3">
        <v>44004.0</v>
      </c>
      <c r="S132" s="1"/>
      <c r="T132" s="1">
        <v>3304557.0</v>
      </c>
      <c r="U132" s="1" t="s">
        <v>286</v>
      </c>
      <c r="V132" s="1" t="s">
        <v>287</v>
      </c>
      <c r="W132" s="1" t="s">
        <v>288</v>
      </c>
      <c r="X132" s="1"/>
      <c r="Y132" s="1" t="str">
        <f>"02022005248201952"</f>
        <v>02022005248201952</v>
      </c>
      <c r="Z132" s="1" t="s">
        <v>128</v>
      </c>
      <c r="AA132" s="1" t="s">
        <v>289</v>
      </c>
      <c r="AB132" s="1" t="str">
        <f t="shared" si="9"/>
        <v>33000167000101</v>
      </c>
      <c r="AC132" s="1"/>
      <c r="AD132" s="1"/>
      <c r="AE132" s="1"/>
      <c r="AF132" s="1">
        <v>-43.175003</v>
      </c>
      <c r="AG132" s="1">
        <v>-22.903055</v>
      </c>
      <c r="AH132" s="1" t="s">
        <v>290</v>
      </c>
      <c r="AI132" s="1"/>
      <c r="AJ132" s="1" t="s">
        <v>291</v>
      </c>
      <c r="AK132" s="1"/>
      <c r="AL132" s="1" t="s">
        <v>79</v>
      </c>
      <c r="AM132" s="1" t="s">
        <v>65</v>
      </c>
      <c r="AN132" s="1" t="s">
        <v>292</v>
      </c>
      <c r="AO132" s="2">
        <v>43994.0</v>
      </c>
      <c r="AP132" s="2">
        <v>43994.5447800926</v>
      </c>
      <c r="AQ132" s="1" t="s">
        <v>80</v>
      </c>
      <c r="AR132" s="1" t="s">
        <v>298</v>
      </c>
      <c r="AS132" s="1" t="s">
        <v>774</v>
      </c>
      <c r="AT132" s="2">
        <v>44269.931099537</v>
      </c>
    </row>
    <row r="133" ht="13.5" customHeight="1">
      <c r="A133" s="1"/>
      <c r="B133" s="1" t="s">
        <v>46</v>
      </c>
      <c r="C133" s="1" t="s">
        <v>47</v>
      </c>
      <c r="D133" s="1"/>
      <c r="E133" s="1" t="s">
        <v>784</v>
      </c>
      <c r="F133" s="1"/>
      <c r="G133" s="1" t="s">
        <v>49</v>
      </c>
      <c r="H133" s="1" t="s">
        <v>93</v>
      </c>
      <c r="I133" s="1">
        <v>185000.0</v>
      </c>
      <c r="J133" s="1"/>
      <c r="K133" s="1"/>
      <c r="L133" s="1"/>
      <c r="M133" s="1" t="s">
        <v>785</v>
      </c>
      <c r="N133" s="1" t="s">
        <v>142</v>
      </c>
      <c r="O133" s="1" t="s">
        <v>143</v>
      </c>
      <c r="P133" s="2">
        <v>43817.8319560185</v>
      </c>
      <c r="Q133" s="1" t="s">
        <v>74</v>
      </c>
      <c r="R133" s="3">
        <v>43817.0</v>
      </c>
      <c r="S133" s="1"/>
      <c r="T133" s="1">
        <v>1506187.0</v>
      </c>
      <c r="U133" s="1" t="s">
        <v>786</v>
      </c>
      <c r="V133" s="1" t="s">
        <v>193</v>
      </c>
      <c r="W133" s="1" t="s">
        <v>177</v>
      </c>
      <c r="X133" s="1"/>
      <c r="Y133" s="1"/>
      <c r="Z133" s="1" t="s">
        <v>147</v>
      </c>
      <c r="AA133" s="1" t="s">
        <v>787</v>
      </c>
      <c r="AB133" s="1" t="str">
        <f>"***415341**"</f>
        <v>***415341**</v>
      </c>
      <c r="AC133" s="1"/>
      <c r="AD133" s="1" t="s">
        <v>62</v>
      </c>
      <c r="AE133" s="1"/>
      <c r="AF133" s="1">
        <v>-48.261944</v>
      </c>
      <c r="AG133" s="1">
        <v>-4.375834</v>
      </c>
      <c r="AH133" s="1" t="s">
        <v>788</v>
      </c>
      <c r="AI133" s="1"/>
      <c r="AJ133" s="1" t="s">
        <v>196</v>
      </c>
      <c r="AK133" s="1"/>
      <c r="AL133" s="1"/>
      <c r="AM133" s="1" t="s">
        <v>65</v>
      </c>
      <c r="AN133" s="1"/>
      <c r="AO133" s="1"/>
      <c r="AP133" s="2">
        <v>43817.8436226852</v>
      </c>
      <c r="AQ133" s="1"/>
      <c r="AR133" s="1" t="s">
        <v>159</v>
      </c>
      <c r="AS133" s="1"/>
      <c r="AT133" s="2">
        <v>44269.931099537</v>
      </c>
    </row>
    <row r="134" ht="13.5" customHeight="1">
      <c r="A134" s="1"/>
      <c r="B134" s="1" t="s">
        <v>46</v>
      </c>
      <c r="C134" s="1" t="s">
        <v>47</v>
      </c>
      <c r="D134" s="1"/>
      <c r="E134" s="1" t="s">
        <v>789</v>
      </c>
      <c r="F134" s="1"/>
      <c r="G134" s="1" t="s">
        <v>49</v>
      </c>
      <c r="H134" s="1" t="s">
        <v>50</v>
      </c>
      <c r="I134" s="1">
        <v>26000.0</v>
      </c>
      <c r="J134" s="1"/>
      <c r="K134" s="1" t="s">
        <v>51</v>
      </c>
      <c r="L134" s="1"/>
      <c r="M134" s="1" t="s">
        <v>790</v>
      </c>
      <c r="N134" s="1" t="s">
        <v>283</v>
      </c>
      <c r="O134" s="1" t="s">
        <v>284</v>
      </c>
      <c r="P134" s="2">
        <v>43817.8249537037</v>
      </c>
      <c r="Q134" s="1" t="s">
        <v>74</v>
      </c>
      <c r="R134" s="1"/>
      <c r="S134" s="1"/>
      <c r="T134" s="1">
        <v>3304557.0</v>
      </c>
      <c r="U134" s="1" t="s">
        <v>286</v>
      </c>
      <c r="V134" s="1" t="s">
        <v>287</v>
      </c>
      <c r="W134" s="1" t="s">
        <v>288</v>
      </c>
      <c r="X134" s="1"/>
      <c r="Y134" s="1"/>
      <c r="Z134" s="1"/>
      <c r="AA134" s="1" t="s">
        <v>289</v>
      </c>
      <c r="AB134" s="1" t="str">
        <f>"33000167000101"</f>
        <v>33000167000101</v>
      </c>
      <c r="AC134" s="1"/>
      <c r="AD134" s="1" t="s">
        <v>149</v>
      </c>
      <c r="AE134" s="1"/>
      <c r="AF134" s="1">
        <v>-43.175003</v>
      </c>
      <c r="AG134" s="1">
        <v>-22.903055</v>
      </c>
      <c r="AH134" s="1" t="s">
        <v>290</v>
      </c>
      <c r="AI134" s="1"/>
      <c r="AJ134" s="1" t="s">
        <v>291</v>
      </c>
      <c r="AK134" s="1"/>
      <c r="AL134" s="1"/>
      <c r="AM134" s="1" t="s">
        <v>65</v>
      </c>
      <c r="AN134" s="1" t="s">
        <v>292</v>
      </c>
      <c r="AO134" s="1"/>
      <c r="AP134" s="2">
        <v>44193.5926041667</v>
      </c>
      <c r="AQ134" s="1"/>
      <c r="AR134" s="1" t="s">
        <v>293</v>
      </c>
      <c r="AS134" s="1" t="s">
        <v>774</v>
      </c>
      <c r="AT134" s="2">
        <v>44269.931099537</v>
      </c>
    </row>
    <row r="135" ht="13.5" customHeight="1">
      <c r="A135" s="1"/>
      <c r="B135" s="1" t="s">
        <v>46</v>
      </c>
      <c r="C135" s="1" t="s">
        <v>47</v>
      </c>
      <c r="D135" s="1"/>
      <c r="E135" s="1" t="s">
        <v>791</v>
      </c>
      <c r="F135" s="1"/>
      <c r="G135" s="1" t="s">
        <v>49</v>
      </c>
      <c r="H135" s="1" t="s">
        <v>50</v>
      </c>
      <c r="I135" s="1">
        <v>61000.0</v>
      </c>
      <c r="J135" s="1"/>
      <c r="K135" s="1" t="s">
        <v>140</v>
      </c>
      <c r="L135" s="1"/>
      <c r="M135" s="1" t="s">
        <v>792</v>
      </c>
      <c r="N135" s="1" t="s">
        <v>123</v>
      </c>
      <c r="O135" s="1" t="s">
        <v>73</v>
      </c>
      <c r="P135" s="2">
        <v>43817.8183217593</v>
      </c>
      <c r="Q135" s="1" t="s">
        <v>74</v>
      </c>
      <c r="R135" s="3">
        <v>43817.0</v>
      </c>
      <c r="S135" s="1"/>
      <c r="T135" s="1">
        <v>1506187.0</v>
      </c>
      <c r="U135" s="1" t="s">
        <v>786</v>
      </c>
      <c r="V135" s="1" t="s">
        <v>193</v>
      </c>
      <c r="W135" s="1" t="s">
        <v>177</v>
      </c>
      <c r="X135" s="1"/>
      <c r="Y135" s="1"/>
      <c r="Z135" s="1" t="s">
        <v>76</v>
      </c>
      <c r="AA135" s="1" t="s">
        <v>787</v>
      </c>
      <c r="AB135" s="1" t="str">
        <f>"***415341**"</f>
        <v>***415341**</v>
      </c>
      <c r="AC135" s="1"/>
      <c r="AD135" s="1" t="s">
        <v>62</v>
      </c>
      <c r="AE135" s="1"/>
      <c r="AF135" s="1">
        <v>-48.261944</v>
      </c>
      <c r="AG135" s="1">
        <v>-4.375834</v>
      </c>
      <c r="AH135" s="1" t="s">
        <v>788</v>
      </c>
      <c r="AI135" s="1"/>
      <c r="AJ135" s="1" t="s">
        <v>196</v>
      </c>
      <c r="AK135" s="1"/>
      <c r="AL135" s="1"/>
      <c r="AM135" s="1" t="s">
        <v>65</v>
      </c>
      <c r="AN135" s="1"/>
      <c r="AO135" s="1"/>
      <c r="AP135" s="2">
        <v>43817.8275</v>
      </c>
      <c r="AQ135" s="1"/>
      <c r="AR135" s="1" t="s">
        <v>793</v>
      </c>
      <c r="AS135" s="1"/>
      <c r="AT135" s="2">
        <v>44269.931099537</v>
      </c>
    </row>
    <row r="136" ht="13.5" customHeight="1">
      <c r="A136" s="1"/>
      <c r="B136" s="1" t="s">
        <v>46</v>
      </c>
      <c r="C136" s="1" t="s">
        <v>47</v>
      </c>
      <c r="D136" s="1"/>
      <c r="E136" s="1" t="s">
        <v>794</v>
      </c>
      <c r="F136" s="1"/>
      <c r="G136" s="1" t="s">
        <v>49</v>
      </c>
      <c r="H136" s="1" t="s">
        <v>93</v>
      </c>
      <c r="I136" s="1">
        <v>23430.63</v>
      </c>
      <c r="J136" s="1"/>
      <c r="K136" s="1"/>
      <c r="L136" s="1"/>
      <c r="M136" s="1" t="s">
        <v>795</v>
      </c>
      <c r="N136" s="1" t="s">
        <v>142</v>
      </c>
      <c r="O136" s="1" t="s">
        <v>143</v>
      </c>
      <c r="P136" s="2">
        <v>43817.7988541667</v>
      </c>
      <c r="Q136" s="1" t="s">
        <v>74</v>
      </c>
      <c r="R136" s="1"/>
      <c r="S136" s="1"/>
      <c r="T136" s="1">
        <v>1600303.0</v>
      </c>
      <c r="U136" s="1" t="s">
        <v>796</v>
      </c>
      <c r="V136" s="1" t="s">
        <v>797</v>
      </c>
      <c r="W136" s="1" t="s">
        <v>177</v>
      </c>
      <c r="X136" s="1"/>
      <c r="Y136" s="1"/>
      <c r="Z136" s="1" t="s">
        <v>147</v>
      </c>
      <c r="AA136" s="1" t="s">
        <v>798</v>
      </c>
      <c r="AB136" s="1" t="str">
        <f>"05259236000241"</f>
        <v>05259236000241</v>
      </c>
      <c r="AC136" s="1"/>
      <c r="AD136" s="1" t="s">
        <v>149</v>
      </c>
      <c r="AE136" s="1"/>
      <c r="AF136" s="1">
        <v>-51.064999</v>
      </c>
      <c r="AG136" s="1">
        <v>0.032778</v>
      </c>
      <c r="AH136" s="1" t="s">
        <v>799</v>
      </c>
      <c r="AI136" s="1"/>
      <c r="AJ136" s="1" t="s">
        <v>800</v>
      </c>
      <c r="AK136" s="1"/>
      <c r="AL136" s="1"/>
      <c r="AM136" s="1" t="s">
        <v>65</v>
      </c>
      <c r="AN136" s="1" t="s">
        <v>152</v>
      </c>
      <c r="AO136" s="1"/>
      <c r="AP136" s="2">
        <v>43817.8098148148</v>
      </c>
      <c r="AQ136" s="1"/>
      <c r="AR136" s="1" t="s">
        <v>801</v>
      </c>
      <c r="AS136" s="1" t="s">
        <v>802</v>
      </c>
      <c r="AT136" s="2">
        <v>44269.931099537</v>
      </c>
    </row>
    <row r="137" ht="13.5" customHeight="1">
      <c r="A137" s="1">
        <v>2035605.0</v>
      </c>
      <c r="B137" s="1" t="s">
        <v>67</v>
      </c>
      <c r="C137" s="1" t="s">
        <v>68</v>
      </c>
      <c r="D137" s="1" t="s">
        <v>46</v>
      </c>
      <c r="E137" s="1" t="s">
        <v>803</v>
      </c>
      <c r="F137" s="1"/>
      <c r="G137" s="1" t="s">
        <v>70</v>
      </c>
      <c r="H137" s="1" t="s">
        <v>93</v>
      </c>
      <c r="I137" s="1">
        <v>722360.0</v>
      </c>
      <c r="J137" s="1"/>
      <c r="K137" s="1"/>
      <c r="L137" s="1" t="s">
        <v>172</v>
      </c>
      <c r="M137" s="1" t="s">
        <v>804</v>
      </c>
      <c r="N137" s="1" t="s">
        <v>53</v>
      </c>
      <c r="O137" s="1" t="s">
        <v>54</v>
      </c>
      <c r="P137" s="2">
        <v>43817.7916666667</v>
      </c>
      <c r="Q137" s="1" t="s">
        <v>55</v>
      </c>
      <c r="R137" s="3">
        <v>43817.0</v>
      </c>
      <c r="S137" s="1"/>
      <c r="T137" s="1">
        <v>1304062.0</v>
      </c>
      <c r="U137" s="1" t="s">
        <v>805</v>
      </c>
      <c r="V137" s="1" t="s">
        <v>486</v>
      </c>
      <c r="W137" s="1" t="s">
        <v>177</v>
      </c>
      <c r="X137" s="1"/>
      <c r="Y137" s="1" t="str">
        <f>"02001007811202017"</f>
        <v>02001007811202017</v>
      </c>
      <c r="Z137" s="1" t="s">
        <v>60</v>
      </c>
      <c r="AA137" s="1" t="s">
        <v>806</v>
      </c>
      <c r="AB137" s="1" t="str">
        <f>"04307181000235"</f>
        <v>04307181000235</v>
      </c>
      <c r="AC137" s="1"/>
      <c r="AD137" s="1"/>
      <c r="AE137" s="1"/>
      <c r="AF137" s="1">
        <v>-69.944443</v>
      </c>
      <c r="AG137" s="1">
        <v>-4.233333</v>
      </c>
      <c r="AH137" s="1" t="s">
        <v>807</v>
      </c>
      <c r="AI137" s="1"/>
      <c r="AJ137" s="1" t="s">
        <v>172</v>
      </c>
      <c r="AK137" s="1"/>
      <c r="AL137" s="1" t="s">
        <v>79</v>
      </c>
      <c r="AM137" s="1" t="s">
        <v>65</v>
      </c>
      <c r="AN137" s="1" t="s">
        <v>808</v>
      </c>
      <c r="AO137" s="2">
        <v>43909.0</v>
      </c>
      <c r="AP137" s="2">
        <v>43909.6922800926</v>
      </c>
      <c r="AQ137" s="1" t="s">
        <v>80</v>
      </c>
      <c r="AR137" s="1" t="s">
        <v>809</v>
      </c>
      <c r="AS137" s="1" t="s">
        <v>810</v>
      </c>
      <c r="AT137" s="2">
        <v>44269.931099537</v>
      </c>
    </row>
    <row r="138" ht="13.5" customHeight="1">
      <c r="A138" s="1"/>
      <c r="B138" s="1" t="s">
        <v>46</v>
      </c>
      <c r="C138" s="1" t="s">
        <v>47</v>
      </c>
      <c r="D138" s="1"/>
      <c r="E138" s="1" t="s">
        <v>811</v>
      </c>
      <c r="F138" s="1"/>
      <c r="G138" s="1" t="s">
        <v>49</v>
      </c>
      <c r="H138" s="1" t="s">
        <v>50</v>
      </c>
      <c r="I138" s="1">
        <v>1500.0</v>
      </c>
      <c r="J138" s="1"/>
      <c r="K138" s="1" t="s">
        <v>51</v>
      </c>
      <c r="L138" s="1"/>
      <c r="M138" s="1" t="s">
        <v>812</v>
      </c>
      <c r="N138" s="1" t="s">
        <v>123</v>
      </c>
      <c r="O138" s="1" t="s">
        <v>73</v>
      </c>
      <c r="P138" s="2">
        <v>43817.764224537</v>
      </c>
      <c r="Q138" s="1" t="s">
        <v>74</v>
      </c>
      <c r="R138" s="3">
        <v>43817.0</v>
      </c>
      <c r="S138" s="1"/>
      <c r="T138" s="1">
        <v>3550308.0</v>
      </c>
      <c r="U138" s="1" t="s">
        <v>607</v>
      </c>
      <c r="V138" s="1" t="s">
        <v>58</v>
      </c>
      <c r="W138" s="1" t="s">
        <v>59</v>
      </c>
      <c r="X138" s="1"/>
      <c r="Y138" s="1"/>
      <c r="Z138" s="1" t="s">
        <v>76</v>
      </c>
      <c r="AA138" s="1" t="s">
        <v>813</v>
      </c>
      <c r="AB138" s="1" t="str">
        <f>"***055408**"</f>
        <v>***055408**</v>
      </c>
      <c r="AC138" s="1"/>
      <c r="AD138" s="1" t="s">
        <v>149</v>
      </c>
      <c r="AE138" s="1"/>
      <c r="AF138" s="1">
        <v>-46.668611</v>
      </c>
      <c r="AG138" s="1">
        <v>-23.559722</v>
      </c>
      <c r="AH138" s="1" t="s">
        <v>814</v>
      </c>
      <c r="AI138" s="1"/>
      <c r="AJ138" s="1" t="s">
        <v>64</v>
      </c>
      <c r="AK138" s="1"/>
      <c r="AL138" s="1"/>
      <c r="AM138" s="1" t="s">
        <v>65</v>
      </c>
      <c r="AN138" s="1"/>
      <c r="AO138" s="1"/>
      <c r="AP138" s="2">
        <v>44251.7993981482</v>
      </c>
      <c r="AQ138" s="1"/>
      <c r="AR138" s="1" t="s">
        <v>153</v>
      </c>
      <c r="AS138" s="1"/>
      <c r="AT138" s="2">
        <v>44269.931099537</v>
      </c>
    </row>
    <row r="139" ht="13.5" customHeight="1">
      <c r="A139" s="1">
        <v>2038099.0</v>
      </c>
      <c r="B139" s="1" t="s">
        <v>67</v>
      </c>
      <c r="C139" s="1" t="s">
        <v>68</v>
      </c>
      <c r="D139" s="1" t="s">
        <v>46</v>
      </c>
      <c r="E139" s="1" t="s">
        <v>815</v>
      </c>
      <c r="F139" s="1"/>
      <c r="G139" s="1" t="s">
        <v>70</v>
      </c>
      <c r="H139" s="1" t="s">
        <v>50</v>
      </c>
      <c r="I139" s="1">
        <v>26000.0</v>
      </c>
      <c r="J139" s="1"/>
      <c r="K139" s="1"/>
      <c r="L139" s="1" t="s">
        <v>291</v>
      </c>
      <c r="M139" s="1" t="s">
        <v>816</v>
      </c>
      <c r="N139" s="1" t="s">
        <v>283</v>
      </c>
      <c r="O139" s="1" t="s">
        <v>284</v>
      </c>
      <c r="P139" s="2">
        <v>43817.75</v>
      </c>
      <c r="Q139" s="1" t="s">
        <v>74</v>
      </c>
      <c r="R139" s="1"/>
      <c r="S139" s="1"/>
      <c r="T139" s="1">
        <v>3304557.0</v>
      </c>
      <c r="U139" s="1" t="s">
        <v>286</v>
      </c>
      <c r="V139" s="1" t="s">
        <v>287</v>
      </c>
      <c r="W139" s="1"/>
      <c r="X139" s="1"/>
      <c r="Y139" s="1"/>
      <c r="Z139" s="1" t="s">
        <v>128</v>
      </c>
      <c r="AA139" s="1" t="s">
        <v>289</v>
      </c>
      <c r="AB139" s="1" t="str">
        <f>"33000167000101"</f>
        <v>33000167000101</v>
      </c>
      <c r="AC139" s="1"/>
      <c r="AD139" s="1"/>
      <c r="AE139" s="1"/>
      <c r="AF139" s="1">
        <v>-43.175003</v>
      </c>
      <c r="AG139" s="1">
        <v>-22.903055</v>
      </c>
      <c r="AH139" s="1" t="s">
        <v>290</v>
      </c>
      <c r="AI139" s="1"/>
      <c r="AJ139" s="1" t="s">
        <v>291</v>
      </c>
      <c r="AK139" s="1"/>
      <c r="AL139" s="1" t="s">
        <v>79</v>
      </c>
      <c r="AM139" s="1" t="s">
        <v>65</v>
      </c>
      <c r="AN139" s="1" t="s">
        <v>292</v>
      </c>
      <c r="AO139" s="2">
        <v>44021.0</v>
      </c>
      <c r="AP139" s="2">
        <v>44021.6319212963</v>
      </c>
      <c r="AQ139" s="1" t="s">
        <v>80</v>
      </c>
      <c r="AR139" s="1" t="s">
        <v>298</v>
      </c>
      <c r="AS139" s="1" t="s">
        <v>774</v>
      </c>
      <c r="AT139" s="2">
        <v>44269.931099537</v>
      </c>
    </row>
    <row r="140" ht="13.5" customHeight="1">
      <c r="A140" s="1"/>
      <c r="B140" s="1" t="s">
        <v>46</v>
      </c>
      <c r="C140" s="1" t="s">
        <v>47</v>
      </c>
      <c r="D140" s="1"/>
      <c r="E140" s="1" t="s">
        <v>817</v>
      </c>
      <c r="F140" s="1"/>
      <c r="G140" s="1" t="s">
        <v>49</v>
      </c>
      <c r="H140" s="1" t="s">
        <v>50</v>
      </c>
      <c r="I140" s="1">
        <v>2260.0</v>
      </c>
      <c r="J140" s="1"/>
      <c r="K140" s="1" t="s">
        <v>140</v>
      </c>
      <c r="L140" s="1"/>
      <c r="M140" s="1" t="s">
        <v>818</v>
      </c>
      <c r="N140" s="1" t="s">
        <v>95</v>
      </c>
      <c r="O140" s="1" t="s">
        <v>96</v>
      </c>
      <c r="P140" s="2">
        <v>43817.7123263889</v>
      </c>
      <c r="Q140" s="1" t="s">
        <v>74</v>
      </c>
      <c r="R140" s="3">
        <v>43817.0</v>
      </c>
      <c r="S140" s="1"/>
      <c r="T140" s="1">
        <v>3131307.0</v>
      </c>
      <c r="U140" s="1" t="s">
        <v>819</v>
      </c>
      <c r="V140" s="1" t="s">
        <v>126</v>
      </c>
      <c r="W140" s="1" t="s">
        <v>127</v>
      </c>
      <c r="X140" s="1"/>
      <c r="Y140" s="1"/>
      <c r="Z140" s="1" t="s">
        <v>98</v>
      </c>
      <c r="AA140" s="1" t="s">
        <v>820</v>
      </c>
      <c r="AB140" s="1" t="str">
        <f t="shared" ref="AB140:AB142" si="10">"***003696**"</f>
        <v>***003696**</v>
      </c>
      <c r="AC140" s="1"/>
      <c r="AD140" s="1" t="s">
        <v>62</v>
      </c>
      <c r="AE140" s="1"/>
      <c r="AF140" s="1">
        <v>-42.520222</v>
      </c>
      <c r="AG140" s="1">
        <v>-19.46464</v>
      </c>
      <c r="AH140" s="1" t="s">
        <v>821</v>
      </c>
      <c r="AI140" s="1"/>
      <c r="AJ140" s="1" t="s">
        <v>131</v>
      </c>
      <c r="AK140" s="1"/>
      <c r="AL140" s="1"/>
      <c r="AM140" s="1" t="s">
        <v>65</v>
      </c>
      <c r="AN140" s="1" t="s">
        <v>132</v>
      </c>
      <c r="AO140" s="1"/>
      <c r="AP140" s="2">
        <v>44076.726712963</v>
      </c>
      <c r="AQ140" s="1"/>
      <c r="AR140" s="1" t="s">
        <v>822</v>
      </c>
      <c r="AS140" s="1"/>
      <c r="AT140" s="2">
        <v>44269.931099537</v>
      </c>
    </row>
    <row r="141" ht="13.5" customHeight="1">
      <c r="A141" s="1"/>
      <c r="B141" s="1" t="s">
        <v>46</v>
      </c>
      <c r="C141" s="1" t="s">
        <v>47</v>
      </c>
      <c r="D141" s="1"/>
      <c r="E141" s="1" t="s">
        <v>823</v>
      </c>
      <c r="F141" s="1"/>
      <c r="G141" s="1" t="s">
        <v>49</v>
      </c>
      <c r="H141" s="1" t="s">
        <v>50</v>
      </c>
      <c r="I141" s="1">
        <v>1130.0</v>
      </c>
      <c r="J141" s="1"/>
      <c r="K141" s="1" t="s">
        <v>140</v>
      </c>
      <c r="L141" s="1"/>
      <c r="M141" s="1" t="s">
        <v>824</v>
      </c>
      <c r="N141" s="1" t="s">
        <v>95</v>
      </c>
      <c r="O141" s="1" t="s">
        <v>96</v>
      </c>
      <c r="P141" s="2">
        <v>43817.703587963</v>
      </c>
      <c r="Q141" s="1" t="s">
        <v>74</v>
      </c>
      <c r="R141" s="3">
        <v>43817.0</v>
      </c>
      <c r="S141" s="1"/>
      <c r="T141" s="1">
        <v>3131307.0</v>
      </c>
      <c r="U141" s="1" t="s">
        <v>819</v>
      </c>
      <c r="V141" s="1" t="s">
        <v>126</v>
      </c>
      <c r="W141" s="1" t="s">
        <v>127</v>
      </c>
      <c r="X141" s="1"/>
      <c r="Y141" s="1"/>
      <c r="Z141" s="1" t="s">
        <v>98</v>
      </c>
      <c r="AA141" s="1" t="s">
        <v>820</v>
      </c>
      <c r="AB141" s="1" t="str">
        <f t="shared" si="10"/>
        <v>***003696**</v>
      </c>
      <c r="AC141" s="1"/>
      <c r="AD141" s="1" t="s">
        <v>62</v>
      </c>
      <c r="AE141" s="1"/>
      <c r="AF141" s="1">
        <v>-42.520222</v>
      </c>
      <c r="AG141" s="1">
        <v>-19.46464</v>
      </c>
      <c r="AH141" s="1" t="s">
        <v>825</v>
      </c>
      <c r="AI141" s="1"/>
      <c r="AJ141" s="1" t="s">
        <v>131</v>
      </c>
      <c r="AK141" s="1"/>
      <c r="AL141" s="1"/>
      <c r="AM141" s="1" t="s">
        <v>65</v>
      </c>
      <c r="AN141" s="1" t="s">
        <v>132</v>
      </c>
      <c r="AO141" s="1"/>
      <c r="AP141" s="2">
        <v>44076.7268055556</v>
      </c>
      <c r="AQ141" s="1"/>
      <c r="AR141" s="1" t="s">
        <v>822</v>
      </c>
      <c r="AS141" s="1"/>
      <c r="AT141" s="2">
        <v>44269.931099537</v>
      </c>
    </row>
    <row r="142" ht="13.5" customHeight="1">
      <c r="A142" s="1"/>
      <c r="B142" s="1" t="s">
        <v>46</v>
      </c>
      <c r="C142" s="1" t="s">
        <v>47</v>
      </c>
      <c r="D142" s="1"/>
      <c r="E142" s="1" t="s">
        <v>826</v>
      </c>
      <c r="F142" s="1"/>
      <c r="G142" s="1" t="s">
        <v>49</v>
      </c>
      <c r="H142" s="1" t="s">
        <v>50</v>
      </c>
      <c r="I142" s="1">
        <v>2260.0</v>
      </c>
      <c r="J142" s="1"/>
      <c r="K142" s="1" t="s">
        <v>140</v>
      </c>
      <c r="L142" s="1"/>
      <c r="M142" s="1" t="s">
        <v>827</v>
      </c>
      <c r="N142" s="1" t="s">
        <v>95</v>
      </c>
      <c r="O142" s="1" t="s">
        <v>96</v>
      </c>
      <c r="P142" s="2">
        <v>43817.6976041667</v>
      </c>
      <c r="Q142" s="1" t="s">
        <v>74</v>
      </c>
      <c r="R142" s="3">
        <v>43817.0</v>
      </c>
      <c r="S142" s="1"/>
      <c r="T142" s="1">
        <v>3131307.0</v>
      </c>
      <c r="U142" s="1" t="s">
        <v>819</v>
      </c>
      <c r="V142" s="1" t="s">
        <v>126</v>
      </c>
      <c r="W142" s="1" t="s">
        <v>127</v>
      </c>
      <c r="X142" s="1"/>
      <c r="Y142" s="1"/>
      <c r="Z142" s="1" t="s">
        <v>98</v>
      </c>
      <c r="AA142" s="1" t="s">
        <v>820</v>
      </c>
      <c r="AB142" s="1" t="str">
        <f t="shared" si="10"/>
        <v>***003696**</v>
      </c>
      <c r="AC142" s="1"/>
      <c r="AD142" s="1" t="s">
        <v>62</v>
      </c>
      <c r="AE142" s="1"/>
      <c r="AF142" s="1">
        <v>-42.520222</v>
      </c>
      <c r="AG142" s="1">
        <v>-19.46464</v>
      </c>
      <c r="AH142" s="1" t="s">
        <v>821</v>
      </c>
      <c r="AI142" s="1"/>
      <c r="AJ142" s="1" t="s">
        <v>131</v>
      </c>
      <c r="AK142" s="1"/>
      <c r="AL142" s="1"/>
      <c r="AM142" s="1" t="s">
        <v>65</v>
      </c>
      <c r="AN142" s="1" t="s">
        <v>132</v>
      </c>
      <c r="AO142" s="1"/>
      <c r="AP142" s="2">
        <v>44076.7269097222</v>
      </c>
      <c r="AQ142" s="1"/>
      <c r="AR142" s="1" t="s">
        <v>822</v>
      </c>
      <c r="AS142" s="1"/>
      <c r="AT142" s="2">
        <v>44269.931099537</v>
      </c>
    </row>
    <row r="143" ht="13.5" customHeight="1">
      <c r="A143" s="1"/>
      <c r="B143" s="1" t="s">
        <v>46</v>
      </c>
      <c r="C143" s="1" t="s">
        <v>47</v>
      </c>
      <c r="D143" s="1"/>
      <c r="E143" s="1" t="s">
        <v>828</v>
      </c>
      <c r="F143" s="1"/>
      <c r="G143" s="1" t="s">
        <v>49</v>
      </c>
      <c r="H143" s="1" t="s">
        <v>50</v>
      </c>
      <c r="I143" s="1">
        <v>1500.0</v>
      </c>
      <c r="J143" s="1"/>
      <c r="K143" s="1" t="s">
        <v>51</v>
      </c>
      <c r="L143" s="1"/>
      <c r="M143" s="1" t="s">
        <v>829</v>
      </c>
      <c r="N143" s="1" t="s">
        <v>123</v>
      </c>
      <c r="O143" s="1" t="s">
        <v>73</v>
      </c>
      <c r="P143" s="2">
        <v>43817.6926388889</v>
      </c>
      <c r="Q143" s="1" t="s">
        <v>74</v>
      </c>
      <c r="R143" s="3">
        <v>43817.0</v>
      </c>
      <c r="S143" s="1"/>
      <c r="T143" s="1">
        <v>3539103.0</v>
      </c>
      <c r="U143" s="1" t="s">
        <v>830</v>
      </c>
      <c r="V143" s="1" t="s">
        <v>58</v>
      </c>
      <c r="W143" s="1" t="s">
        <v>59</v>
      </c>
      <c r="X143" s="1"/>
      <c r="Y143" s="1"/>
      <c r="Z143" s="1" t="s">
        <v>76</v>
      </c>
      <c r="AA143" s="1" t="s">
        <v>831</v>
      </c>
      <c r="AB143" s="1" t="str">
        <f>"***387878**"</f>
        <v>***387878**</v>
      </c>
      <c r="AC143" s="1"/>
      <c r="AD143" s="1" t="s">
        <v>149</v>
      </c>
      <c r="AE143" s="1"/>
      <c r="AF143" s="1">
        <v>-46.668611</v>
      </c>
      <c r="AG143" s="1">
        <v>-23.559722</v>
      </c>
      <c r="AH143" s="1" t="s">
        <v>832</v>
      </c>
      <c r="AI143" s="1"/>
      <c r="AJ143" s="1" t="s">
        <v>64</v>
      </c>
      <c r="AK143" s="1"/>
      <c r="AL143" s="1"/>
      <c r="AM143" s="1" t="s">
        <v>65</v>
      </c>
      <c r="AN143" s="1"/>
      <c r="AO143" s="1"/>
      <c r="AP143" s="2">
        <v>44251.8004166667</v>
      </c>
      <c r="AQ143" s="1"/>
      <c r="AR143" s="1" t="s">
        <v>396</v>
      </c>
      <c r="AS143" s="1" t="s">
        <v>88</v>
      </c>
      <c r="AT143" s="2">
        <v>44269.931099537</v>
      </c>
    </row>
    <row r="144" ht="13.5" customHeight="1">
      <c r="A144" s="1"/>
      <c r="B144" s="1" t="s">
        <v>46</v>
      </c>
      <c r="C144" s="1" t="s">
        <v>47</v>
      </c>
      <c r="D144" s="1"/>
      <c r="E144" s="1" t="s">
        <v>833</v>
      </c>
      <c r="F144" s="1"/>
      <c r="G144" s="1" t="s">
        <v>49</v>
      </c>
      <c r="H144" s="1" t="s">
        <v>50</v>
      </c>
      <c r="I144" s="1">
        <v>1130.0</v>
      </c>
      <c r="J144" s="1"/>
      <c r="K144" s="1" t="s">
        <v>140</v>
      </c>
      <c r="L144" s="1"/>
      <c r="M144" s="1" t="s">
        <v>834</v>
      </c>
      <c r="N144" s="1" t="s">
        <v>95</v>
      </c>
      <c r="O144" s="1" t="s">
        <v>96</v>
      </c>
      <c r="P144" s="2">
        <v>43817.6924305556</v>
      </c>
      <c r="Q144" s="1" t="s">
        <v>74</v>
      </c>
      <c r="R144" s="3">
        <v>43817.0</v>
      </c>
      <c r="S144" s="1"/>
      <c r="T144" s="1">
        <v>3131307.0</v>
      </c>
      <c r="U144" s="1" t="s">
        <v>819</v>
      </c>
      <c r="V144" s="1" t="s">
        <v>126</v>
      </c>
      <c r="W144" s="1" t="s">
        <v>127</v>
      </c>
      <c r="X144" s="1"/>
      <c r="Y144" s="1"/>
      <c r="Z144" s="1" t="s">
        <v>98</v>
      </c>
      <c r="AA144" s="1" t="s">
        <v>820</v>
      </c>
      <c r="AB144" s="1" t="str">
        <f t="shared" ref="AB144:AB145" si="11">"***003696**"</f>
        <v>***003696**</v>
      </c>
      <c r="AC144" s="1"/>
      <c r="AD144" s="1" t="s">
        <v>62</v>
      </c>
      <c r="AE144" s="1"/>
      <c r="AF144" s="1">
        <v>-42.520222</v>
      </c>
      <c r="AG144" s="1">
        <v>-19.46464</v>
      </c>
      <c r="AH144" s="1" t="s">
        <v>821</v>
      </c>
      <c r="AI144" s="1"/>
      <c r="AJ144" s="1" t="s">
        <v>131</v>
      </c>
      <c r="AK144" s="1"/>
      <c r="AL144" s="1"/>
      <c r="AM144" s="1" t="s">
        <v>65</v>
      </c>
      <c r="AN144" s="1" t="s">
        <v>132</v>
      </c>
      <c r="AO144" s="1"/>
      <c r="AP144" s="2">
        <v>44076.7271759259</v>
      </c>
      <c r="AQ144" s="1"/>
      <c r="AR144" s="1" t="s">
        <v>822</v>
      </c>
      <c r="AS144" s="1"/>
      <c r="AT144" s="2">
        <v>44269.931099537</v>
      </c>
    </row>
    <row r="145" ht="13.5" customHeight="1">
      <c r="A145" s="1"/>
      <c r="B145" s="1" t="s">
        <v>46</v>
      </c>
      <c r="C145" s="1" t="s">
        <v>47</v>
      </c>
      <c r="D145" s="1"/>
      <c r="E145" s="1" t="s">
        <v>835</v>
      </c>
      <c r="F145" s="1"/>
      <c r="G145" s="1" t="s">
        <v>49</v>
      </c>
      <c r="H145" s="1" t="s">
        <v>50</v>
      </c>
      <c r="I145" s="1">
        <v>1130.0</v>
      </c>
      <c r="J145" s="1"/>
      <c r="K145" s="1" t="s">
        <v>140</v>
      </c>
      <c r="L145" s="1"/>
      <c r="M145" s="1" t="s">
        <v>836</v>
      </c>
      <c r="N145" s="1" t="s">
        <v>95</v>
      </c>
      <c r="O145" s="1" t="s">
        <v>96</v>
      </c>
      <c r="P145" s="2">
        <v>43817.6849537037</v>
      </c>
      <c r="Q145" s="1" t="s">
        <v>74</v>
      </c>
      <c r="R145" s="3">
        <v>43817.0</v>
      </c>
      <c r="S145" s="1"/>
      <c r="T145" s="1">
        <v>3131307.0</v>
      </c>
      <c r="U145" s="1" t="s">
        <v>819</v>
      </c>
      <c r="V145" s="1" t="s">
        <v>126</v>
      </c>
      <c r="W145" s="1" t="s">
        <v>127</v>
      </c>
      <c r="X145" s="1"/>
      <c r="Y145" s="1"/>
      <c r="Z145" s="1" t="s">
        <v>98</v>
      </c>
      <c r="AA145" s="1" t="s">
        <v>820</v>
      </c>
      <c r="AB145" s="1" t="str">
        <f t="shared" si="11"/>
        <v>***003696**</v>
      </c>
      <c r="AC145" s="1"/>
      <c r="AD145" s="1" t="s">
        <v>62</v>
      </c>
      <c r="AE145" s="1"/>
      <c r="AF145" s="1">
        <v>-42.520222</v>
      </c>
      <c r="AG145" s="1">
        <v>-19.46464</v>
      </c>
      <c r="AH145" s="1" t="s">
        <v>821</v>
      </c>
      <c r="AI145" s="1"/>
      <c r="AJ145" s="1" t="s">
        <v>131</v>
      </c>
      <c r="AK145" s="1"/>
      <c r="AL145" s="1"/>
      <c r="AM145" s="1" t="s">
        <v>65</v>
      </c>
      <c r="AN145" s="1" t="s">
        <v>132</v>
      </c>
      <c r="AO145" s="1"/>
      <c r="AP145" s="2">
        <v>44076.7273958333</v>
      </c>
      <c r="AQ145" s="1"/>
      <c r="AR145" s="1" t="s">
        <v>822</v>
      </c>
      <c r="AS145" s="1"/>
      <c r="AT145" s="2">
        <v>44269.931099537</v>
      </c>
    </row>
    <row r="146" ht="13.5" customHeight="1">
      <c r="A146" s="1"/>
      <c r="B146" s="1" t="s">
        <v>46</v>
      </c>
      <c r="C146" s="1" t="s">
        <v>47</v>
      </c>
      <c r="D146" s="1"/>
      <c r="E146" s="1" t="s">
        <v>837</v>
      </c>
      <c r="F146" s="1"/>
      <c r="G146" s="1" t="s">
        <v>49</v>
      </c>
      <c r="H146" s="1" t="s">
        <v>93</v>
      </c>
      <c r="I146" s="1">
        <v>500500.0</v>
      </c>
      <c r="J146" s="1"/>
      <c r="K146" s="1" t="s">
        <v>140</v>
      </c>
      <c r="L146" s="1"/>
      <c r="M146" s="1" t="s">
        <v>838</v>
      </c>
      <c r="N146" s="1" t="s">
        <v>212</v>
      </c>
      <c r="O146" s="1" t="s">
        <v>213</v>
      </c>
      <c r="P146" s="2">
        <v>43817.673287037</v>
      </c>
      <c r="Q146" s="1" t="s">
        <v>74</v>
      </c>
      <c r="R146" s="1"/>
      <c r="S146" s="1"/>
      <c r="T146" s="1">
        <v>5215231.0</v>
      </c>
      <c r="U146" s="1" t="s">
        <v>839</v>
      </c>
      <c r="V146" s="1" t="s">
        <v>375</v>
      </c>
      <c r="W146" s="1" t="s">
        <v>127</v>
      </c>
      <c r="X146" s="1"/>
      <c r="Y146" s="1"/>
      <c r="Z146" s="1" t="s">
        <v>215</v>
      </c>
      <c r="AA146" s="1" t="s">
        <v>840</v>
      </c>
      <c r="AB146" s="1" t="str">
        <f>"01543032000104"</f>
        <v>01543032000104</v>
      </c>
      <c r="AC146" s="1"/>
      <c r="AD146" s="1" t="s">
        <v>149</v>
      </c>
      <c r="AE146" s="1"/>
      <c r="AF146" s="1">
        <v>-48.152779</v>
      </c>
      <c r="AG146" s="1">
        <v>-16.2425</v>
      </c>
      <c r="AH146" s="1" t="s">
        <v>841</v>
      </c>
      <c r="AI146" s="1"/>
      <c r="AJ146" s="1" t="s">
        <v>172</v>
      </c>
      <c r="AK146" s="1"/>
      <c r="AL146" s="1"/>
      <c r="AM146" s="1" t="s">
        <v>65</v>
      </c>
      <c r="AN146" s="1" t="s">
        <v>720</v>
      </c>
      <c r="AO146" s="1"/>
      <c r="AP146" s="2">
        <v>43817.6807060185</v>
      </c>
      <c r="AQ146" s="1"/>
      <c r="AR146" s="1" t="s">
        <v>721</v>
      </c>
      <c r="AS146" s="1" t="s">
        <v>722</v>
      </c>
      <c r="AT146" s="2">
        <v>44269.931099537</v>
      </c>
    </row>
    <row r="147" ht="13.5" customHeight="1">
      <c r="A147" s="1"/>
      <c r="B147" s="1" t="s">
        <v>46</v>
      </c>
      <c r="C147" s="1" t="s">
        <v>47</v>
      </c>
      <c r="D147" s="1"/>
      <c r="E147" s="1" t="s">
        <v>842</v>
      </c>
      <c r="F147" s="1"/>
      <c r="G147" s="1" t="s">
        <v>49</v>
      </c>
      <c r="H147" s="1" t="s">
        <v>50</v>
      </c>
      <c r="I147" s="1">
        <v>1500.0</v>
      </c>
      <c r="J147" s="1"/>
      <c r="K147" s="1" t="s">
        <v>51</v>
      </c>
      <c r="L147" s="1"/>
      <c r="M147" s="1" t="s">
        <v>843</v>
      </c>
      <c r="N147" s="1" t="s">
        <v>123</v>
      </c>
      <c r="O147" s="1" t="s">
        <v>73</v>
      </c>
      <c r="P147" s="2">
        <v>43817.6584953704</v>
      </c>
      <c r="Q147" s="1" t="s">
        <v>74</v>
      </c>
      <c r="R147" s="3">
        <v>43817.0</v>
      </c>
      <c r="S147" s="1"/>
      <c r="T147" s="1">
        <v>3552502.0</v>
      </c>
      <c r="U147" s="1" t="s">
        <v>844</v>
      </c>
      <c r="V147" s="1" t="s">
        <v>58</v>
      </c>
      <c r="W147" s="1" t="s">
        <v>59</v>
      </c>
      <c r="X147" s="1"/>
      <c r="Y147" s="1"/>
      <c r="Z147" s="1" t="s">
        <v>76</v>
      </c>
      <c r="AA147" s="1" t="s">
        <v>845</v>
      </c>
      <c r="AB147" s="1" t="str">
        <f>"***923145**"</f>
        <v>***923145**</v>
      </c>
      <c r="AC147" s="1"/>
      <c r="AD147" s="1" t="s">
        <v>149</v>
      </c>
      <c r="AE147" s="1"/>
      <c r="AF147" s="1">
        <v>-46.668611</v>
      </c>
      <c r="AG147" s="1">
        <v>-23.559722</v>
      </c>
      <c r="AH147" s="1" t="s">
        <v>846</v>
      </c>
      <c r="AI147" s="1"/>
      <c r="AJ147" s="1" t="s">
        <v>64</v>
      </c>
      <c r="AK147" s="1"/>
      <c r="AL147" s="1"/>
      <c r="AM147" s="1" t="s">
        <v>65</v>
      </c>
      <c r="AN147" s="1"/>
      <c r="AO147" s="1"/>
      <c r="AP147" s="2">
        <v>44251.8012384259</v>
      </c>
      <c r="AQ147" s="1"/>
      <c r="AR147" s="1" t="s">
        <v>153</v>
      </c>
      <c r="AS147" s="1" t="s">
        <v>88</v>
      </c>
      <c r="AT147" s="2">
        <v>44269.931099537</v>
      </c>
    </row>
    <row r="148" ht="13.5" customHeight="1">
      <c r="A148" s="1"/>
      <c r="B148" s="1" t="s">
        <v>46</v>
      </c>
      <c r="C148" s="1" t="s">
        <v>47</v>
      </c>
      <c r="D148" s="1"/>
      <c r="E148" s="1" t="s">
        <v>847</v>
      </c>
      <c r="F148" s="1"/>
      <c r="G148" s="1" t="s">
        <v>49</v>
      </c>
      <c r="H148" s="1" t="s">
        <v>93</v>
      </c>
      <c r="I148" s="1">
        <v>3666.3</v>
      </c>
      <c r="J148" s="1"/>
      <c r="K148" s="1"/>
      <c r="L148" s="1"/>
      <c r="M148" s="1" t="s">
        <v>848</v>
      </c>
      <c r="N148" s="1" t="s">
        <v>142</v>
      </c>
      <c r="O148" s="1" t="s">
        <v>143</v>
      </c>
      <c r="P148" s="2">
        <v>43817.6251967593</v>
      </c>
      <c r="Q148" s="1" t="s">
        <v>74</v>
      </c>
      <c r="R148" s="3">
        <v>43817.0</v>
      </c>
      <c r="S148" s="1"/>
      <c r="T148" s="1">
        <v>2802908.0</v>
      </c>
      <c r="U148" s="1" t="s">
        <v>849</v>
      </c>
      <c r="V148" s="1" t="s">
        <v>566</v>
      </c>
      <c r="W148" s="1" t="s">
        <v>177</v>
      </c>
      <c r="X148" s="1"/>
      <c r="Y148" s="1"/>
      <c r="Z148" s="1" t="s">
        <v>147</v>
      </c>
      <c r="AA148" s="1" t="s">
        <v>850</v>
      </c>
      <c r="AB148" s="1" t="str">
        <f>"24128371000111"</f>
        <v>24128371000111</v>
      </c>
      <c r="AC148" s="1"/>
      <c r="AD148" s="1" t="s">
        <v>62</v>
      </c>
      <c r="AE148" s="1"/>
      <c r="AF148" s="1">
        <v>-37.491112</v>
      </c>
      <c r="AG148" s="1">
        <v>-10.705277</v>
      </c>
      <c r="AH148" s="1" t="s">
        <v>851</v>
      </c>
      <c r="AI148" s="1"/>
      <c r="AJ148" s="1" t="s">
        <v>569</v>
      </c>
      <c r="AK148" s="1"/>
      <c r="AL148" s="1"/>
      <c r="AM148" s="1" t="s">
        <v>65</v>
      </c>
      <c r="AN148" s="1" t="s">
        <v>570</v>
      </c>
      <c r="AO148" s="1"/>
      <c r="AP148" s="2">
        <v>44230.6955787037</v>
      </c>
      <c r="AQ148" s="1"/>
      <c r="AR148" s="1" t="s">
        <v>613</v>
      </c>
      <c r="AS148" s="1" t="s">
        <v>614</v>
      </c>
      <c r="AT148" s="2">
        <v>44269.931099537</v>
      </c>
    </row>
    <row r="149" ht="13.5" customHeight="1">
      <c r="A149" s="1"/>
      <c r="B149" s="1" t="s">
        <v>46</v>
      </c>
      <c r="C149" s="1" t="s">
        <v>47</v>
      </c>
      <c r="D149" s="1"/>
      <c r="E149" s="1" t="s">
        <v>852</v>
      </c>
      <c r="F149" s="1"/>
      <c r="G149" s="1" t="s">
        <v>49</v>
      </c>
      <c r="H149" s="1" t="s">
        <v>50</v>
      </c>
      <c r="I149" s="1">
        <v>2260.0</v>
      </c>
      <c r="J149" s="1"/>
      <c r="K149" s="1" t="s">
        <v>140</v>
      </c>
      <c r="L149" s="1"/>
      <c r="M149" s="1" t="s">
        <v>853</v>
      </c>
      <c r="N149" s="1" t="s">
        <v>95</v>
      </c>
      <c r="O149" s="1" t="s">
        <v>96</v>
      </c>
      <c r="P149" s="2">
        <v>43817.6199074074</v>
      </c>
      <c r="Q149" s="1" t="s">
        <v>74</v>
      </c>
      <c r="R149" s="3">
        <v>43817.0</v>
      </c>
      <c r="S149" s="1"/>
      <c r="T149" s="1">
        <v>3131307.0</v>
      </c>
      <c r="U149" s="1" t="s">
        <v>819</v>
      </c>
      <c r="V149" s="1" t="s">
        <v>126</v>
      </c>
      <c r="W149" s="1" t="s">
        <v>127</v>
      </c>
      <c r="X149" s="1"/>
      <c r="Y149" s="1"/>
      <c r="Z149" s="1" t="s">
        <v>98</v>
      </c>
      <c r="AA149" s="1" t="s">
        <v>820</v>
      </c>
      <c r="AB149" s="1" t="str">
        <f>"***003696**"</f>
        <v>***003696**</v>
      </c>
      <c r="AC149" s="1"/>
      <c r="AD149" s="1" t="s">
        <v>62</v>
      </c>
      <c r="AE149" s="1"/>
      <c r="AF149" s="1">
        <v>-42.520222</v>
      </c>
      <c r="AG149" s="1">
        <v>-19.46464</v>
      </c>
      <c r="AH149" s="1" t="s">
        <v>821</v>
      </c>
      <c r="AI149" s="1"/>
      <c r="AJ149" s="1" t="s">
        <v>131</v>
      </c>
      <c r="AK149" s="1"/>
      <c r="AL149" s="1"/>
      <c r="AM149" s="1" t="s">
        <v>65</v>
      </c>
      <c r="AN149" s="1" t="s">
        <v>132</v>
      </c>
      <c r="AO149" s="1"/>
      <c r="AP149" s="2">
        <v>44076.7276736111</v>
      </c>
      <c r="AQ149" s="1"/>
      <c r="AR149" s="1" t="s">
        <v>822</v>
      </c>
      <c r="AS149" s="1"/>
      <c r="AT149" s="2">
        <v>44269.931099537</v>
      </c>
    </row>
    <row r="150" ht="13.5" customHeight="1">
      <c r="A150" s="1">
        <v>2034668.0</v>
      </c>
      <c r="B150" s="1" t="s">
        <v>67</v>
      </c>
      <c r="C150" s="1" t="s">
        <v>68</v>
      </c>
      <c r="D150" s="1" t="s">
        <v>46</v>
      </c>
      <c r="E150" s="1" t="s">
        <v>854</v>
      </c>
      <c r="F150" s="1"/>
      <c r="G150" s="1" t="s">
        <v>70</v>
      </c>
      <c r="H150" s="1" t="s">
        <v>93</v>
      </c>
      <c r="I150" s="1">
        <v>3937.5</v>
      </c>
      <c r="J150" s="1"/>
      <c r="K150" s="1"/>
      <c r="L150" s="1" t="s">
        <v>264</v>
      </c>
      <c r="M150" s="1" t="s">
        <v>855</v>
      </c>
      <c r="N150" s="1" t="s">
        <v>142</v>
      </c>
      <c r="O150" s="1" t="s">
        <v>143</v>
      </c>
      <c r="P150" s="2">
        <v>43817.5833333333</v>
      </c>
      <c r="Q150" s="1" t="s">
        <v>74</v>
      </c>
      <c r="R150" s="3">
        <v>43817.0</v>
      </c>
      <c r="S150" s="1"/>
      <c r="T150" s="1">
        <v>4205001.0</v>
      </c>
      <c r="U150" s="1" t="s">
        <v>856</v>
      </c>
      <c r="V150" s="1" t="s">
        <v>267</v>
      </c>
      <c r="W150" s="1" t="s">
        <v>177</v>
      </c>
      <c r="X150" s="1"/>
      <c r="Y150" s="1" t="str">
        <f>"02026004156201915"</f>
        <v>02026004156201915</v>
      </c>
      <c r="Z150" s="1" t="s">
        <v>147</v>
      </c>
      <c r="AA150" s="1" t="s">
        <v>857</v>
      </c>
      <c r="AB150" s="1" t="str">
        <f>"***768230**"</f>
        <v>***768230**</v>
      </c>
      <c r="AC150" s="1"/>
      <c r="AD150" s="1"/>
      <c r="AE150" s="1"/>
      <c r="AF150" s="1">
        <v>-53.640278</v>
      </c>
      <c r="AG150" s="1">
        <v>-26.258333</v>
      </c>
      <c r="AH150" s="1" t="s">
        <v>858</v>
      </c>
      <c r="AI150" s="1"/>
      <c r="AJ150" s="1" t="s">
        <v>264</v>
      </c>
      <c r="AK150" s="1"/>
      <c r="AL150" s="1" t="s">
        <v>79</v>
      </c>
      <c r="AM150" s="1" t="s">
        <v>65</v>
      </c>
      <c r="AN150" s="1" t="s">
        <v>624</v>
      </c>
      <c r="AO150" s="2">
        <v>43889.0</v>
      </c>
      <c r="AP150" s="2">
        <v>43889.5250231481</v>
      </c>
      <c r="AQ150" s="1" t="s">
        <v>80</v>
      </c>
      <c r="AR150" s="1" t="s">
        <v>181</v>
      </c>
      <c r="AS150" s="1" t="s">
        <v>859</v>
      </c>
      <c r="AT150" s="2">
        <v>44269.931099537</v>
      </c>
    </row>
    <row r="151" ht="13.5" customHeight="1">
      <c r="A151" s="1">
        <v>2034889.0</v>
      </c>
      <c r="B151" s="1" t="s">
        <v>67</v>
      </c>
      <c r="C151" s="1" t="s">
        <v>68</v>
      </c>
      <c r="D151" s="1" t="s">
        <v>46</v>
      </c>
      <c r="E151" s="1" t="s">
        <v>860</v>
      </c>
      <c r="F151" s="1"/>
      <c r="G151" s="1" t="s">
        <v>70</v>
      </c>
      <c r="H151" s="1" t="s">
        <v>93</v>
      </c>
      <c r="I151" s="1">
        <v>9000.0</v>
      </c>
      <c r="J151" s="1"/>
      <c r="K151" s="1"/>
      <c r="L151" s="1" t="s">
        <v>628</v>
      </c>
      <c r="M151" s="1" t="s">
        <v>861</v>
      </c>
      <c r="N151" s="1" t="s">
        <v>142</v>
      </c>
      <c r="O151" s="1" t="s">
        <v>143</v>
      </c>
      <c r="P151" s="2">
        <v>43817.5833333333</v>
      </c>
      <c r="Q151" s="1" t="s">
        <v>373</v>
      </c>
      <c r="R151" s="3">
        <v>43817.0</v>
      </c>
      <c r="S151" s="1"/>
      <c r="T151" s="1">
        <v>2915007.0</v>
      </c>
      <c r="U151" s="1" t="s">
        <v>862</v>
      </c>
      <c r="V151" s="1" t="s">
        <v>632</v>
      </c>
      <c r="W151" s="1" t="s">
        <v>113</v>
      </c>
      <c r="X151" s="1"/>
      <c r="Y151" s="1" t="str">
        <f>"02006000429202024"</f>
        <v>02006000429202024</v>
      </c>
      <c r="Z151" s="1" t="s">
        <v>147</v>
      </c>
      <c r="AA151" s="1" t="s">
        <v>863</v>
      </c>
      <c r="AB151" s="1" t="str">
        <f>"***926385**"</f>
        <v>***926385**</v>
      </c>
      <c r="AC151" s="1"/>
      <c r="AD151" s="1"/>
      <c r="AE151" s="1"/>
      <c r="AF151" s="1">
        <v>-41.130554</v>
      </c>
      <c r="AG151" s="1">
        <v>-13.141389</v>
      </c>
      <c r="AH151" s="1" t="s">
        <v>864</v>
      </c>
      <c r="AI151" s="1"/>
      <c r="AJ151" s="1" t="s">
        <v>628</v>
      </c>
      <c r="AK151" s="1"/>
      <c r="AL151" s="1" t="s">
        <v>79</v>
      </c>
      <c r="AM151" s="1" t="s">
        <v>65</v>
      </c>
      <c r="AN151" s="1" t="s">
        <v>635</v>
      </c>
      <c r="AO151" s="2">
        <v>43892.0</v>
      </c>
      <c r="AP151" s="2">
        <v>43892.6495138889</v>
      </c>
      <c r="AQ151" s="1" t="s">
        <v>80</v>
      </c>
      <c r="AR151" s="1" t="s">
        <v>865</v>
      </c>
      <c r="AS151" s="1"/>
      <c r="AT151" s="2">
        <v>44269.931099537</v>
      </c>
    </row>
    <row r="152" ht="13.5" customHeight="1">
      <c r="A152" s="1"/>
      <c r="B152" s="1" t="s">
        <v>46</v>
      </c>
      <c r="C152" s="1" t="s">
        <v>47</v>
      </c>
      <c r="D152" s="1"/>
      <c r="E152" s="1" t="s">
        <v>866</v>
      </c>
      <c r="F152" s="1"/>
      <c r="G152" s="1" t="s">
        <v>49</v>
      </c>
      <c r="H152" s="1" t="s">
        <v>93</v>
      </c>
      <c r="I152" s="1">
        <v>410000.0</v>
      </c>
      <c r="J152" s="1"/>
      <c r="K152" s="1"/>
      <c r="L152" s="1"/>
      <c r="M152" s="1" t="s">
        <v>867</v>
      </c>
      <c r="N152" s="1" t="s">
        <v>142</v>
      </c>
      <c r="O152" s="1" t="s">
        <v>143</v>
      </c>
      <c r="P152" s="2">
        <v>43817.5650462963</v>
      </c>
      <c r="Q152" s="1" t="s">
        <v>55</v>
      </c>
      <c r="R152" s="1"/>
      <c r="S152" s="1"/>
      <c r="T152" s="1">
        <v>5006903.0</v>
      </c>
      <c r="U152" s="1" t="s">
        <v>868</v>
      </c>
      <c r="V152" s="1" t="s">
        <v>529</v>
      </c>
      <c r="W152" s="1" t="s">
        <v>530</v>
      </c>
      <c r="X152" s="1"/>
      <c r="Y152" s="1"/>
      <c r="Z152" s="1" t="s">
        <v>147</v>
      </c>
      <c r="AA152" s="1" t="s">
        <v>869</v>
      </c>
      <c r="AB152" s="1" t="str">
        <f>"***398681**"</f>
        <v>***398681**</v>
      </c>
      <c r="AC152" s="1"/>
      <c r="AD152" s="1" t="s">
        <v>116</v>
      </c>
      <c r="AE152" s="1"/>
      <c r="AF152" s="1">
        <v>-57.638615</v>
      </c>
      <c r="AG152" s="1">
        <v>-20.077778</v>
      </c>
      <c r="AH152" s="1" t="s">
        <v>870</v>
      </c>
      <c r="AI152" s="1"/>
      <c r="AJ152" s="1" t="s">
        <v>533</v>
      </c>
      <c r="AK152" s="1"/>
      <c r="AL152" s="1"/>
      <c r="AM152" s="1" t="s">
        <v>65</v>
      </c>
      <c r="AN152" s="1" t="s">
        <v>534</v>
      </c>
      <c r="AO152" s="1"/>
      <c r="AP152" s="2">
        <v>44018.9851273148</v>
      </c>
      <c r="AQ152" s="1"/>
      <c r="AR152" s="1" t="s">
        <v>871</v>
      </c>
      <c r="AS152" s="1"/>
      <c r="AT152" s="2">
        <v>44269.931099537</v>
      </c>
    </row>
    <row r="153" ht="13.5" customHeight="1">
      <c r="A153" s="1">
        <v>2036680.0</v>
      </c>
      <c r="B153" s="1" t="s">
        <v>67</v>
      </c>
      <c r="C153" s="1" t="s">
        <v>68</v>
      </c>
      <c r="D153" s="1" t="s">
        <v>46</v>
      </c>
      <c r="E153" s="1" t="s">
        <v>872</v>
      </c>
      <c r="F153" s="1"/>
      <c r="G153" s="1" t="s">
        <v>70</v>
      </c>
      <c r="H153" s="1" t="s">
        <v>93</v>
      </c>
      <c r="I153" s="1">
        <v>24917.4</v>
      </c>
      <c r="J153" s="1"/>
      <c r="K153" s="1"/>
      <c r="L153" s="1" t="s">
        <v>371</v>
      </c>
      <c r="M153" s="1" t="s">
        <v>873</v>
      </c>
      <c r="N153" s="1" t="s">
        <v>142</v>
      </c>
      <c r="O153" s="1" t="s">
        <v>143</v>
      </c>
      <c r="P153" s="2">
        <v>43817.5416666667</v>
      </c>
      <c r="Q153" s="1" t="s">
        <v>74</v>
      </c>
      <c r="R153" s="3">
        <v>43829.0</v>
      </c>
      <c r="S153" s="1"/>
      <c r="T153" s="1">
        <v>5213806.0</v>
      </c>
      <c r="U153" s="1" t="s">
        <v>874</v>
      </c>
      <c r="V153" s="1" t="s">
        <v>375</v>
      </c>
      <c r="W153" s="1" t="s">
        <v>127</v>
      </c>
      <c r="X153" s="1"/>
      <c r="Y153" s="1" t="str">
        <f>"02010000224202080"</f>
        <v>02010000224202080</v>
      </c>
      <c r="Z153" s="1" t="s">
        <v>147</v>
      </c>
      <c r="AA153" s="1" t="s">
        <v>875</v>
      </c>
      <c r="AB153" s="1" t="str">
        <f>"04213798000100"</f>
        <v>04213798000100</v>
      </c>
      <c r="AC153" s="1"/>
      <c r="AD153" s="1" t="s">
        <v>116</v>
      </c>
      <c r="AE153" s="1"/>
      <c r="AF153" s="1">
        <v>-49.364444</v>
      </c>
      <c r="AG153" s="1">
        <v>-16.746667</v>
      </c>
      <c r="AH153" s="1" t="s">
        <v>876</v>
      </c>
      <c r="AI153" s="1"/>
      <c r="AJ153" s="1" t="s">
        <v>371</v>
      </c>
      <c r="AK153" s="1"/>
      <c r="AL153" s="1" t="s">
        <v>118</v>
      </c>
      <c r="AM153" s="1" t="s">
        <v>65</v>
      </c>
      <c r="AN153" s="1" t="s">
        <v>378</v>
      </c>
      <c r="AO153" s="2">
        <v>43966.0</v>
      </c>
      <c r="AP153" s="2">
        <v>44064.4953009259</v>
      </c>
      <c r="AQ153" s="1" t="s">
        <v>80</v>
      </c>
      <c r="AR153" s="1" t="s">
        <v>877</v>
      </c>
      <c r="AS153" s="1"/>
      <c r="AT153" s="2">
        <v>44269.931099537</v>
      </c>
    </row>
    <row r="154" ht="13.5" customHeight="1">
      <c r="A154" s="1">
        <v>2044316.0</v>
      </c>
      <c r="B154" s="1" t="s">
        <v>67</v>
      </c>
      <c r="C154" s="1" t="s">
        <v>68</v>
      </c>
      <c r="D154" s="1" t="s">
        <v>46</v>
      </c>
      <c r="E154" s="1" t="s">
        <v>878</v>
      </c>
      <c r="F154" s="1"/>
      <c r="G154" s="1" t="s">
        <v>70</v>
      </c>
      <c r="H154" s="1" t="s">
        <v>93</v>
      </c>
      <c r="I154" s="1">
        <v>11500.0</v>
      </c>
      <c r="J154" s="1"/>
      <c r="K154" s="1"/>
      <c r="L154" s="1" t="s">
        <v>800</v>
      </c>
      <c r="M154" s="1" t="s">
        <v>879</v>
      </c>
      <c r="N154" s="1" t="s">
        <v>72</v>
      </c>
      <c r="O154" s="1" t="s">
        <v>73</v>
      </c>
      <c r="P154" s="2">
        <v>43817.5416666667</v>
      </c>
      <c r="Q154" s="1" t="s">
        <v>74</v>
      </c>
      <c r="R154" s="1"/>
      <c r="S154" s="1"/>
      <c r="T154" s="1">
        <v>1600402.0</v>
      </c>
      <c r="U154" s="1" t="s">
        <v>880</v>
      </c>
      <c r="V154" s="1" t="s">
        <v>797</v>
      </c>
      <c r="W154" s="1" t="s">
        <v>177</v>
      </c>
      <c r="X154" s="1"/>
      <c r="Y154" s="1" t="str">
        <f>"02004001647201962"</f>
        <v>02004001647201962</v>
      </c>
      <c r="Z154" s="1" t="s">
        <v>76</v>
      </c>
      <c r="AA154" s="1" t="s">
        <v>881</v>
      </c>
      <c r="AB154" s="1" t="str">
        <f>"***300252**"</f>
        <v>***300252**</v>
      </c>
      <c r="AC154" s="1"/>
      <c r="AD154" s="1"/>
      <c r="AE154" s="1"/>
      <c r="AF154" s="1">
        <v>-51.696388</v>
      </c>
      <c r="AG154" s="1">
        <v>0.165833</v>
      </c>
      <c r="AH154" s="1" t="s">
        <v>882</v>
      </c>
      <c r="AI154" s="1"/>
      <c r="AJ154" s="1" t="s">
        <v>800</v>
      </c>
      <c r="AK154" s="1"/>
      <c r="AL154" s="1" t="s">
        <v>79</v>
      </c>
      <c r="AM154" s="1" t="s">
        <v>65</v>
      </c>
      <c r="AN154" s="1" t="s">
        <v>883</v>
      </c>
      <c r="AO154" s="2">
        <v>44267.0</v>
      </c>
      <c r="AP154" s="2">
        <v>44267.7336342593</v>
      </c>
      <c r="AQ154" s="1" t="s">
        <v>80</v>
      </c>
      <c r="AR154" s="1" t="s">
        <v>81</v>
      </c>
      <c r="AS154" s="1"/>
      <c r="AT154" s="2">
        <v>44269.931099537</v>
      </c>
    </row>
    <row r="155" ht="13.5" customHeight="1">
      <c r="A155" s="1">
        <v>2038204.0</v>
      </c>
      <c r="B155" s="1" t="s">
        <v>67</v>
      </c>
      <c r="C155" s="1" t="s">
        <v>68</v>
      </c>
      <c r="D155" s="1" t="s">
        <v>46</v>
      </c>
      <c r="E155" s="1" t="s">
        <v>884</v>
      </c>
      <c r="F155" s="1"/>
      <c r="G155" s="1" t="s">
        <v>70</v>
      </c>
      <c r="H155" s="1" t="s">
        <v>50</v>
      </c>
      <c r="I155" s="1">
        <v>26000.0</v>
      </c>
      <c r="J155" s="1"/>
      <c r="K155" s="1"/>
      <c r="L155" s="1" t="s">
        <v>291</v>
      </c>
      <c r="M155" s="1" t="s">
        <v>885</v>
      </c>
      <c r="N155" s="1" t="s">
        <v>283</v>
      </c>
      <c r="O155" s="1" t="s">
        <v>284</v>
      </c>
      <c r="P155" s="2">
        <v>43817.5</v>
      </c>
      <c r="Q155" s="1" t="s">
        <v>74</v>
      </c>
      <c r="R155" s="1"/>
      <c r="S155" s="1"/>
      <c r="T155" s="1">
        <v>3304557.0</v>
      </c>
      <c r="U155" s="1" t="s">
        <v>286</v>
      </c>
      <c r="V155" s="1" t="s">
        <v>287</v>
      </c>
      <c r="W155" s="1"/>
      <c r="X155" s="1"/>
      <c r="Y155" s="1"/>
      <c r="Z155" s="1" t="s">
        <v>128</v>
      </c>
      <c r="AA155" s="1" t="s">
        <v>289</v>
      </c>
      <c r="AB155" s="1" t="str">
        <f t="shared" ref="AB155:AB156" si="12">"33000167000101"</f>
        <v>33000167000101</v>
      </c>
      <c r="AC155" s="1"/>
      <c r="AD155" s="1"/>
      <c r="AE155" s="1"/>
      <c r="AF155" s="1">
        <v>-43.175003</v>
      </c>
      <c r="AG155" s="1">
        <v>-22.903055</v>
      </c>
      <c r="AH155" s="1" t="s">
        <v>290</v>
      </c>
      <c r="AI155" s="1"/>
      <c r="AJ155" s="1" t="s">
        <v>291</v>
      </c>
      <c r="AK155" s="1"/>
      <c r="AL155" s="1" t="s">
        <v>79</v>
      </c>
      <c r="AM155" s="1" t="s">
        <v>65</v>
      </c>
      <c r="AN155" s="1" t="s">
        <v>292</v>
      </c>
      <c r="AO155" s="2">
        <v>44027.0</v>
      </c>
      <c r="AP155" s="2">
        <v>44027.483599537</v>
      </c>
      <c r="AQ155" s="1" t="s">
        <v>80</v>
      </c>
      <c r="AR155" s="1" t="s">
        <v>298</v>
      </c>
      <c r="AS155" s="1" t="s">
        <v>774</v>
      </c>
      <c r="AT155" s="2">
        <v>44269.931099537</v>
      </c>
    </row>
    <row r="156" ht="13.5" customHeight="1">
      <c r="A156" s="1">
        <v>2038219.0</v>
      </c>
      <c r="B156" s="1" t="s">
        <v>67</v>
      </c>
      <c r="C156" s="1" t="s">
        <v>68</v>
      </c>
      <c r="D156" s="1" t="s">
        <v>46</v>
      </c>
      <c r="E156" s="1" t="s">
        <v>886</v>
      </c>
      <c r="F156" s="1"/>
      <c r="G156" s="1" t="s">
        <v>70</v>
      </c>
      <c r="H156" s="1" t="s">
        <v>50</v>
      </c>
      <c r="I156" s="1">
        <v>26000.0</v>
      </c>
      <c r="J156" s="1"/>
      <c r="K156" s="1"/>
      <c r="L156" s="1" t="s">
        <v>291</v>
      </c>
      <c r="M156" s="1" t="s">
        <v>887</v>
      </c>
      <c r="N156" s="1" t="s">
        <v>283</v>
      </c>
      <c r="O156" s="1" t="s">
        <v>284</v>
      </c>
      <c r="P156" s="2">
        <v>43817.5</v>
      </c>
      <c r="Q156" s="1" t="s">
        <v>74</v>
      </c>
      <c r="R156" s="1"/>
      <c r="S156" s="1"/>
      <c r="T156" s="1">
        <v>3304557.0</v>
      </c>
      <c r="U156" s="1" t="s">
        <v>286</v>
      </c>
      <c r="V156" s="1" t="s">
        <v>287</v>
      </c>
      <c r="W156" s="1" t="s">
        <v>288</v>
      </c>
      <c r="X156" s="1"/>
      <c r="Y156" s="1" t="str">
        <f>"02022005250201921"</f>
        <v>02022005250201921</v>
      </c>
      <c r="Z156" s="1" t="s">
        <v>128</v>
      </c>
      <c r="AA156" s="1" t="s">
        <v>289</v>
      </c>
      <c r="AB156" s="1" t="str">
        <f t="shared" si="12"/>
        <v>33000167000101</v>
      </c>
      <c r="AC156" s="1"/>
      <c r="AD156" s="1"/>
      <c r="AE156" s="1"/>
      <c r="AF156" s="1">
        <v>-43.175003</v>
      </c>
      <c r="AG156" s="1">
        <v>-22.903055</v>
      </c>
      <c r="AH156" s="1" t="s">
        <v>290</v>
      </c>
      <c r="AI156" s="1"/>
      <c r="AJ156" s="1" t="s">
        <v>291</v>
      </c>
      <c r="AK156" s="1"/>
      <c r="AL156" s="1" t="s">
        <v>79</v>
      </c>
      <c r="AM156" s="1" t="s">
        <v>65</v>
      </c>
      <c r="AN156" s="1" t="s">
        <v>292</v>
      </c>
      <c r="AO156" s="2">
        <v>44027.0</v>
      </c>
      <c r="AP156" s="2">
        <v>44027.7004050926</v>
      </c>
      <c r="AQ156" s="1" t="s">
        <v>80</v>
      </c>
      <c r="AR156" s="1" t="s">
        <v>298</v>
      </c>
      <c r="AS156" s="1" t="s">
        <v>774</v>
      </c>
      <c r="AT156" s="2">
        <v>44269.931099537</v>
      </c>
    </row>
    <row r="157" ht="13.5" customHeight="1">
      <c r="A157" s="1">
        <v>2039117.0</v>
      </c>
      <c r="B157" s="1" t="s">
        <v>67</v>
      </c>
      <c r="C157" s="1" t="s">
        <v>68</v>
      </c>
      <c r="D157" s="1" t="s">
        <v>46</v>
      </c>
      <c r="E157" s="1" t="s">
        <v>888</v>
      </c>
      <c r="F157" s="1"/>
      <c r="G157" s="1" t="s">
        <v>70</v>
      </c>
      <c r="H157" s="1" t="s">
        <v>93</v>
      </c>
      <c r="I157" s="1">
        <v>5000.0</v>
      </c>
      <c r="J157" s="1"/>
      <c r="K157" s="1"/>
      <c r="L157" s="1" t="s">
        <v>628</v>
      </c>
      <c r="M157" s="1" t="s">
        <v>889</v>
      </c>
      <c r="N157" s="1" t="s">
        <v>142</v>
      </c>
      <c r="O157" s="1" t="s">
        <v>143</v>
      </c>
      <c r="P157" s="2">
        <v>43817.5</v>
      </c>
      <c r="Q157" s="1" t="s">
        <v>373</v>
      </c>
      <c r="R157" s="3">
        <v>43817.0</v>
      </c>
      <c r="S157" s="1"/>
      <c r="T157" s="1">
        <v>2915007.0</v>
      </c>
      <c r="U157" s="1" t="s">
        <v>862</v>
      </c>
      <c r="V157" s="1" t="s">
        <v>632</v>
      </c>
      <c r="W157" s="1" t="s">
        <v>113</v>
      </c>
      <c r="X157" s="1"/>
      <c r="Y157" s="1" t="str">
        <f>"02006000317202073"</f>
        <v>02006000317202073</v>
      </c>
      <c r="Z157" s="1" t="s">
        <v>147</v>
      </c>
      <c r="AA157" s="1" t="s">
        <v>890</v>
      </c>
      <c r="AB157" s="1" t="str">
        <f>"***642255**"</f>
        <v>***642255**</v>
      </c>
      <c r="AC157" s="1"/>
      <c r="AD157" s="1"/>
      <c r="AE157" s="1"/>
      <c r="AF157" s="1">
        <v>-41.189167</v>
      </c>
      <c r="AG157" s="1">
        <v>-13.204166</v>
      </c>
      <c r="AH157" s="1" t="s">
        <v>891</v>
      </c>
      <c r="AI157" s="1"/>
      <c r="AJ157" s="1" t="s">
        <v>628</v>
      </c>
      <c r="AK157" s="1"/>
      <c r="AL157" s="1" t="s">
        <v>79</v>
      </c>
      <c r="AM157" s="1" t="s">
        <v>65</v>
      </c>
      <c r="AN157" s="1" t="s">
        <v>635</v>
      </c>
      <c r="AO157" s="2">
        <v>44054.0</v>
      </c>
      <c r="AP157" s="2">
        <v>44054.735162037</v>
      </c>
      <c r="AQ157" s="1" t="s">
        <v>80</v>
      </c>
      <c r="AR157" s="1" t="s">
        <v>865</v>
      </c>
      <c r="AS157" s="1"/>
      <c r="AT157" s="2">
        <v>44269.931099537</v>
      </c>
    </row>
    <row r="158" ht="13.5" customHeight="1">
      <c r="A158" s="1"/>
      <c r="B158" s="1" t="s">
        <v>46</v>
      </c>
      <c r="C158" s="1" t="s">
        <v>47</v>
      </c>
      <c r="D158" s="1"/>
      <c r="E158" s="1" t="s">
        <v>892</v>
      </c>
      <c r="F158" s="1"/>
      <c r="G158" s="1" t="s">
        <v>49</v>
      </c>
      <c r="H158" s="1" t="s">
        <v>50</v>
      </c>
      <c r="I158" s="1">
        <v>1600.0</v>
      </c>
      <c r="J158" s="1"/>
      <c r="K158" s="1" t="s">
        <v>51</v>
      </c>
      <c r="L158" s="1"/>
      <c r="M158" s="1" t="s">
        <v>893</v>
      </c>
      <c r="N158" s="1" t="s">
        <v>108</v>
      </c>
      <c r="O158" s="1" t="s">
        <v>109</v>
      </c>
      <c r="P158" s="2">
        <v>43817.4913541667</v>
      </c>
      <c r="Q158" s="1" t="s">
        <v>55</v>
      </c>
      <c r="R158" s="1"/>
      <c r="S158" s="1"/>
      <c r="T158" s="1">
        <v>2208007.0</v>
      </c>
      <c r="U158" s="1" t="s">
        <v>894</v>
      </c>
      <c r="V158" s="1" t="s">
        <v>895</v>
      </c>
      <c r="W158" s="1" t="s">
        <v>113</v>
      </c>
      <c r="X158" s="1"/>
      <c r="Y158" s="1"/>
      <c r="Z158" s="1" t="s">
        <v>226</v>
      </c>
      <c r="AA158" s="1" t="s">
        <v>896</v>
      </c>
      <c r="AB158" s="1" t="str">
        <f>"12162321000171"</f>
        <v>12162321000171</v>
      </c>
      <c r="AC158" s="1"/>
      <c r="AD158" s="1" t="s">
        <v>149</v>
      </c>
      <c r="AE158" s="1"/>
      <c r="AF158" s="1">
        <v>-41.442222</v>
      </c>
      <c r="AG158" s="1">
        <v>-7.077778</v>
      </c>
      <c r="AH158" s="1" t="s">
        <v>897</v>
      </c>
      <c r="AI158" s="1"/>
      <c r="AJ158" s="1" t="s">
        <v>898</v>
      </c>
      <c r="AK158" s="1"/>
      <c r="AL158" s="1"/>
      <c r="AM158" s="1" t="s">
        <v>65</v>
      </c>
      <c r="AN158" s="1" t="s">
        <v>152</v>
      </c>
      <c r="AO158" s="1"/>
      <c r="AP158" s="2">
        <v>44217.5986574074</v>
      </c>
      <c r="AQ158" s="1"/>
      <c r="AR158" s="1" t="s">
        <v>899</v>
      </c>
      <c r="AS158" s="1"/>
      <c r="AT158" s="2">
        <v>44269.931099537</v>
      </c>
    </row>
    <row r="159" ht="13.5" customHeight="1">
      <c r="A159" s="1"/>
      <c r="B159" s="1" t="s">
        <v>46</v>
      </c>
      <c r="C159" s="1" t="s">
        <v>47</v>
      </c>
      <c r="D159" s="1"/>
      <c r="E159" s="1" t="s">
        <v>900</v>
      </c>
      <c r="F159" s="1"/>
      <c r="G159" s="1" t="s">
        <v>49</v>
      </c>
      <c r="H159" s="1" t="s">
        <v>93</v>
      </c>
      <c r="I159" s="1">
        <v>5000.0</v>
      </c>
      <c r="J159" s="1"/>
      <c r="K159" s="1"/>
      <c r="L159" s="1"/>
      <c r="M159" s="1" t="s">
        <v>901</v>
      </c>
      <c r="N159" s="1" t="s">
        <v>95</v>
      </c>
      <c r="O159" s="1" t="s">
        <v>96</v>
      </c>
      <c r="P159" s="2">
        <v>43817.4770023148</v>
      </c>
      <c r="Q159" s="1" t="s">
        <v>373</v>
      </c>
      <c r="R159" s="1"/>
      <c r="S159" s="1"/>
      <c r="T159" s="1">
        <v>5106109.0</v>
      </c>
      <c r="U159" s="1" t="s">
        <v>214</v>
      </c>
      <c r="V159" s="1" t="s">
        <v>164</v>
      </c>
      <c r="W159" s="1" t="s">
        <v>127</v>
      </c>
      <c r="X159" s="1"/>
      <c r="Y159" s="1"/>
      <c r="Z159" s="1" t="s">
        <v>98</v>
      </c>
      <c r="AA159" s="1" t="s">
        <v>902</v>
      </c>
      <c r="AB159" s="1" t="str">
        <f>"***076961**"</f>
        <v>***076961**</v>
      </c>
      <c r="AC159" s="1"/>
      <c r="AD159" s="1" t="s">
        <v>62</v>
      </c>
      <c r="AE159" s="1"/>
      <c r="AF159" s="1">
        <v>-56.577225</v>
      </c>
      <c r="AG159" s="1">
        <v>-15.8675</v>
      </c>
      <c r="AH159" s="1" t="s">
        <v>217</v>
      </c>
      <c r="AI159" s="1"/>
      <c r="AJ159" s="1" t="s">
        <v>167</v>
      </c>
      <c r="AK159" s="1"/>
      <c r="AL159" s="1"/>
      <c r="AM159" s="1" t="s">
        <v>65</v>
      </c>
      <c r="AN159" s="1" t="s">
        <v>168</v>
      </c>
      <c r="AO159" s="1"/>
      <c r="AP159" s="2">
        <v>43817.4965162037</v>
      </c>
      <c r="AQ159" s="1"/>
      <c r="AR159" s="1" t="s">
        <v>903</v>
      </c>
      <c r="AS159" s="1"/>
      <c r="AT159" s="2">
        <v>44269.931099537</v>
      </c>
    </row>
    <row r="160" ht="13.5" customHeight="1">
      <c r="A160" s="1">
        <v>2044172.0</v>
      </c>
      <c r="B160" s="1" t="s">
        <v>67</v>
      </c>
      <c r="C160" s="1" t="s">
        <v>68</v>
      </c>
      <c r="D160" s="1" t="s">
        <v>46</v>
      </c>
      <c r="E160" s="1" t="s">
        <v>904</v>
      </c>
      <c r="F160" s="1"/>
      <c r="G160" s="1" t="s">
        <v>70</v>
      </c>
      <c r="H160" s="1" t="s">
        <v>50</v>
      </c>
      <c r="I160" s="1">
        <v>500500.0</v>
      </c>
      <c r="J160" s="1"/>
      <c r="K160" s="1"/>
      <c r="L160" s="1" t="s">
        <v>172</v>
      </c>
      <c r="M160" s="1" t="s">
        <v>905</v>
      </c>
      <c r="N160" s="1" t="s">
        <v>72</v>
      </c>
      <c r="O160" s="1" t="s">
        <v>213</v>
      </c>
      <c r="P160" s="2">
        <v>43817.4583333333</v>
      </c>
      <c r="Q160" s="1" t="s">
        <v>74</v>
      </c>
      <c r="R160" s="3">
        <v>43853.0</v>
      </c>
      <c r="S160" s="1"/>
      <c r="T160" s="1">
        <v>3304151.0</v>
      </c>
      <c r="U160" s="1" t="s">
        <v>906</v>
      </c>
      <c r="V160" s="1" t="s">
        <v>287</v>
      </c>
      <c r="W160" s="1" t="s">
        <v>288</v>
      </c>
      <c r="X160" s="1"/>
      <c r="Y160" s="1" t="str">
        <f>"02001036195201960"</f>
        <v>02001036195201960</v>
      </c>
      <c r="Z160" s="1" t="s">
        <v>215</v>
      </c>
      <c r="AA160" s="1" t="s">
        <v>907</v>
      </c>
      <c r="AB160" s="1" t="str">
        <f>"33000167000292"</f>
        <v>33000167000292</v>
      </c>
      <c r="AC160" s="1"/>
      <c r="AD160" s="1"/>
      <c r="AE160" s="1"/>
      <c r="AF160" s="1">
        <v>-40.146893</v>
      </c>
      <c r="AG160" s="1">
        <v>-22.157583</v>
      </c>
      <c r="AH160" s="1" t="s">
        <v>908</v>
      </c>
      <c r="AI160" s="1"/>
      <c r="AJ160" s="1" t="s">
        <v>172</v>
      </c>
      <c r="AK160" s="1"/>
      <c r="AL160" s="1" t="s">
        <v>79</v>
      </c>
      <c r="AM160" s="1" t="s">
        <v>65</v>
      </c>
      <c r="AN160" s="1" t="s">
        <v>720</v>
      </c>
      <c r="AO160" s="2">
        <v>44264.0</v>
      </c>
      <c r="AP160" s="2">
        <v>44264.64375</v>
      </c>
      <c r="AQ160" s="1" t="s">
        <v>80</v>
      </c>
      <c r="AR160" s="1" t="s">
        <v>909</v>
      </c>
      <c r="AS160" s="1" t="s">
        <v>722</v>
      </c>
      <c r="AT160" s="2">
        <v>44269.931099537</v>
      </c>
    </row>
    <row r="161" ht="13.5" customHeight="1">
      <c r="A161" s="1"/>
      <c r="B161" s="1" t="s">
        <v>46</v>
      </c>
      <c r="C161" s="1" t="s">
        <v>47</v>
      </c>
      <c r="D161" s="1"/>
      <c r="E161" s="1" t="s">
        <v>910</v>
      </c>
      <c r="F161" s="1"/>
      <c r="G161" s="1" t="s">
        <v>49</v>
      </c>
      <c r="H161" s="1" t="s">
        <v>93</v>
      </c>
      <c r="I161" s="1">
        <v>75000.0</v>
      </c>
      <c r="J161" s="1"/>
      <c r="K161" s="1"/>
      <c r="L161" s="1"/>
      <c r="M161" s="1" t="s">
        <v>911</v>
      </c>
      <c r="N161" s="1" t="s">
        <v>95</v>
      </c>
      <c r="O161" s="1" t="s">
        <v>96</v>
      </c>
      <c r="P161" s="2">
        <v>43817.4582175926</v>
      </c>
      <c r="Q161" s="1" t="s">
        <v>373</v>
      </c>
      <c r="R161" s="1"/>
      <c r="S161" s="1"/>
      <c r="T161" s="1">
        <v>1505106.0</v>
      </c>
      <c r="U161" s="1" t="s">
        <v>762</v>
      </c>
      <c r="V161" s="1" t="s">
        <v>193</v>
      </c>
      <c r="W161" s="1" t="s">
        <v>177</v>
      </c>
      <c r="X161" s="1"/>
      <c r="Y161" s="1"/>
      <c r="Z161" s="1" t="s">
        <v>98</v>
      </c>
      <c r="AA161" s="1" t="s">
        <v>912</v>
      </c>
      <c r="AB161" s="1" t="str">
        <f>"***980082**"</f>
        <v>***980082**</v>
      </c>
      <c r="AC161" s="1"/>
      <c r="AD161" s="1" t="s">
        <v>149</v>
      </c>
      <c r="AE161" s="1"/>
      <c r="AF161" s="1">
        <v>-55.518055</v>
      </c>
      <c r="AG161" s="1">
        <v>-1.916111</v>
      </c>
      <c r="AH161" s="1" t="s">
        <v>913</v>
      </c>
      <c r="AI161" s="1"/>
      <c r="AJ161" s="1" t="s">
        <v>765</v>
      </c>
      <c r="AK161" s="1"/>
      <c r="AL161" s="1"/>
      <c r="AM161" s="1" t="s">
        <v>65</v>
      </c>
      <c r="AN161" s="1" t="s">
        <v>766</v>
      </c>
      <c r="AO161" s="1"/>
      <c r="AP161" s="2">
        <v>43817.4816087963</v>
      </c>
      <c r="AQ161" s="1"/>
      <c r="AR161" s="1" t="s">
        <v>914</v>
      </c>
      <c r="AS161" s="1"/>
      <c r="AT161" s="2">
        <v>44269.931099537</v>
      </c>
    </row>
    <row r="162" ht="13.5" customHeight="1">
      <c r="A162" s="1">
        <v>2038033.0</v>
      </c>
      <c r="B162" s="1" t="s">
        <v>67</v>
      </c>
      <c r="C162" s="1" t="s">
        <v>68</v>
      </c>
      <c r="D162" s="1" t="s">
        <v>46</v>
      </c>
      <c r="E162" s="1" t="s">
        <v>915</v>
      </c>
      <c r="F162" s="1"/>
      <c r="G162" s="1" t="s">
        <v>70</v>
      </c>
      <c r="H162" s="1" t="s">
        <v>93</v>
      </c>
      <c r="I162" s="1">
        <v>8793.1</v>
      </c>
      <c r="J162" s="1"/>
      <c r="K162" s="1"/>
      <c r="L162" s="1" t="s">
        <v>533</v>
      </c>
      <c r="M162" s="1" t="s">
        <v>916</v>
      </c>
      <c r="N162" s="1" t="s">
        <v>142</v>
      </c>
      <c r="O162" s="1" t="s">
        <v>143</v>
      </c>
      <c r="P162" s="2">
        <v>43817.4166666667</v>
      </c>
      <c r="Q162" s="1" t="s">
        <v>55</v>
      </c>
      <c r="R162" s="1"/>
      <c r="S162" s="1"/>
      <c r="T162" s="1">
        <v>5003207.0</v>
      </c>
      <c r="U162" s="1" t="s">
        <v>917</v>
      </c>
      <c r="V162" s="1" t="s">
        <v>529</v>
      </c>
      <c r="W162" s="1" t="s">
        <v>530</v>
      </c>
      <c r="X162" s="1"/>
      <c r="Y162" s="1" t="str">
        <f>"02014000079202005"</f>
        <v>02014000079202005</v>
      </c>
      <c r="Z162" s="1" t="s">
        <v>147</v>
      </c>
      <c r="AA162" s="1" t="s">
        <v>918</v>
      </c>
      <c r="AB162" s="1" t="str">
        <f>"***398681**"</f>
        <v>***398681**</v>
      </c>
      <c r="AC162" s="1"/>
      <c r="AD162" s="1"/>
      <c r="AE162" s="1"/>
      <c r="AF162" s="1">
        <v>-57.614998</v>
      </c>
      <c r="AG162" s="1">
        <v>-20.046389</v>
      </c>
      <c r="AH162" s="1" t="s">
        <v>919</v>
      </c>
      <c r="AI162" s="1"/>
      <c r="AJ162" s="1" t="s">
        <v>533</v>
      </c>
      <c r="AK162" s="1"/>
      <c r="AL162" s="1" t="s">
        <v>79</v>
      </c>
      <c r="AM162" s="1" t="s">
        <v>65</v>
      </c>
      <c r="AN162" s="1" t="s">
        <v>534</v>
      </c>
      <c r="AO162" s="2">
        <v>44018.0</v>
      </c>
      <c r="AP162" s="2">
        <v>44018.8606828704</v>
      </c>
      <c r="AQ162" s="1" t="s">
        <v>80</v>
      </c>
      <c r="AR162" s="1" t="s">
        <v>181</v>
      </c>
      <c r="AS162" s="1"/>
      <c r="AT162" s="2">
        <v>44269.931099537</v>
      </c>
    </row>
    <row r="163" ht="13.5" customHeight="1">
      <c r="A163" s="1"/>
      <c r="B163" s="1" t="s">
        <v>46</v>
      </c>
      <c r="C163" s="1" t="s">
        <v>47</v>
      </c>
      <c r="D163" s="1"/>
      <c r="E163" s="1" t="s">
        <v>920</v>
      </c>
      <c r="F163" s="1"/>
      <c r="G163" s="1" t="s">
        <v>49</v>
      </c>
      <c r="H163" s="1" t="s">
        <v>93</v>
      </c>
      <c r="I163" s="1">
        <v>38100.0</v>
      </c>
      <c r="J163" s="1"/>
      <c r="K163" s="1"/>
      <c r="L163" s="1"/>
      <c r="M163" s="1" t="s">
        <v>921</v>
      </c>
      <c r="N163" s="1" t="s">
        <v>142</v>
      </c>
      <c r="O163" s="1" t="s">
        <v>143</v>
      </c>
      <c r="P163" s="2">
        <v>43817.3135300926</v>
      </c>
      <c r="Q163" s="1" t="s">
        <v>373</v>
      </c>
      <c r="R163" s="1"/>
      <c r="S163" s="1"/>
      <c r="T163" s="1">
        <v>3203908.0</v>
      </c>
      <c r="U163" s="1" t="s">
        <v>922</v>
      </c>
      <c r="V163" s="1" t="s">
        <v>403</v>
      </c>
      <c r="W163" s="1" t="s">
        <v>59</v>
      </c>
      <c r="X163" s="1"/>
      <c r="Y163" s="1"/>
      <c r="Z163" s="1" t="s">
        <v>147</v>
      </c>
      <c r="AA163" s="1" t="s">
        <v>923</v>
      </c>
      <c r="AB163" s="1" t="str">
        <f>"07596084000117"</f>
        <v>07596084000117</v>
      </c>
      <c r="AC163" s="1"/>
      <c r="AD163" s="1" t="s">
        <v>62</v>
      </c>
      <c r="AE163" s="1"/>
      <c r="AF163" s="1">
        <v>-40.400002</v>
      </c>
      <c r="AG163" s="1">
        <v>-18.706667</v>
      </c>
      <c r="AH163" s="1" t="s">
        <v>924</v>
      </c>
      <c r="AI163" s="1"/>
      <c r="AJ163" s="1" t="s">
        <v>406</v>
      </c>
      <c r="AK163" s="1"/>
      <c r="AL163" s="1"/>
      <c r="AM163" s="1" t="s">
        <v>65</v>
      </c>
      <c r="AN163" s="1" t="s">
        <v>925</v>
      </c>
      <c r="AO163" s="1"/>
      <c r="AP163" s="2">
        <v>43817.327037037</v>
      </c>
      <c r="AQ163" s="1"/>
      <c r="AR163" s="1" t="s">
        <v>280</v>
      </c>
      <c r="AS163" s="1"/>
      <c r="AT163" s="2">
        <v>44269.931099537</v>
      </c>
    </row>
    <row r="164" ht="13.5" customHeight="1">
      <c r="A164" s="1">
        <v>2035538.0</v>
      </c>
      <c r="B164" s="1" t="s">
        <v>67</v>
      </c>
      <c r="C164" s="1" t="s">
        <v>68</v>
      </c>
      <c r="D164" s="1" t="s">
        <v>46</v>
      </c>
      <c r="E164" s="1" t="s">
        <v>926</v>
      </c>
      <c r="F164" s="1"/>
      <c r="G164" s="1" t="s">
        <v>70</v>
      </c>
      <c r="H164" s="1" t="s">
        <v>50</v>
      </c>
      <c r="I164" s="1">
        <v>41500.0</v>
      </c>
      <c r="J164" s="1"/>
      <c r="K164" s="1"/>
      <c r="L164" s="1" t="s">
        <v>172</v>
      </c>
      <c r="M164" s="1" t="s">
        <v>927</v>
      </c>
      <c r="N164" s="1" t="s">
        <v>142</v>
      </c>
      <c r="O164" s="1" t="s">
        <v>143</v>
      </c>
      <c r="P164" s="2">
        <v>43817.2083333333</v>
      </c>
      <c r="Q164" s="1" t="s">
        <v>55</v>
      </c>
      <c r="R164" s="3">
        <v>43817.0</v>
      </c>
      <c r="S164" s="1"/>
      <c r="T164" s="1">
        <v>1400605.0</v>
      </c>
      <c r="U164" s="1" t="s">
        <v>928</v>
      </c>
      <c r="V164" s="1" t="s">
        <v>186</v>
      </c>
      <c r="W164" s="1" t="s">
        <v>177</v>
      </c>
      <c r="X164" s="1"/>
      <c r="Y164" s="1" t="str">
        <f>"02001007417202071"</f>
        <v>02001007417202071</v>
      </c>
      <c r="Z164" s="1" t="s">
        <v>147</v>
      </c>
      <c r="AA164" s="1" t="s">
        <v>929</v>
      </c>
      <c r="AB164" s="1" t="str">
        <f>"28901561000180"</f>
        <v>28901561000180</v>
      </c>
      <c r="AC164" s="1"/>
      <c r="AD164" s="1"/>
      <c r="AE164" s="1"/>
      <c r="AF164" s="1">
        <v>-60.001667</v>
      </c>
      <c r="AG164" s="1">
        <v>1.0025</v>
      </c>
      <c r="AH164" s="1" t="s">
        <v>930</v>
      </c>
      <c r="AI164" s="1"/>
      <c r="AJ164" s="1" t="s">
        <v>172</v>
      </c>
      <c r="AK164" s="1"/>
      <c r="AL164" s="1" t="s">
        <v>79</v>
      </c>
      <c r="AM164" s="1" t="s">
        <v>65</v>
      </c>
      <c r="AN164" s="1" t="s">
        <v>180</v>
      </c>
      <c r="AO164" s="2">
        <v>43908.0</v>
      </c>
      <c r="AP164" s="2">
        <v>43908.3638194445</v>
      </c>
      <c r="AQ164" s="1" t="s">
        <v>80</v>
      </c>
      <c r="AR164" s="1" t="s">
        <v>81</v>
      </c>
      <c r="AS164" s="1"/>
      <c r="AT164" s="2">
        <v>44269.931099537</v>
      </c>
    </row>
    <row r="165" ht="13.5" customHeight="1">
      <c r="A165" s="1"/>
      <c r="B165" s="1" t="s">
        <v>46</v>
      </c>
      <c r="C165" s="1" t="s">
        <v>47</v>
      </c>
      <c r="D165" s="1"/>
      <c r="E165" s="1" t="s">
        <v>931</v>
      </c>
      <c r="F165" s="1"/>
      <c r="G165" s="1" t="s">
        <v>49</v>
      </c>
      <c r="H165" s="1" t="s">
        <v>93</v>
      </c>
      <c r="I165" s="1">
        <v>28000.0</v>
      </c>
      <c r="J165" s="1"/>
      <c r="K165" s="1"/>
      <c r="L165" s="1"/>
      <c r="M165" s="1" t="s">
        <v>932</v>
      </c>
      <c r="N165" s="1" t="s">
        <v>95</v>
      </c>
      <c r="O165" s="1" t="s">
        <v>96</v>
      </c>
      <c r="P165" s="2">
        <v>43816.823287037</v>
      </c>
      <c r="Q165" s="1" t="s">
        <v>373</v>
      </c>
      <c r="R165" s="1"/>
      <c r="S165" s="1"/>
      <c r="T165" s="1">
        <v>3518800.0</v>
      </c>
      <c r="U165" s="1" t="s">
        <v>57</v>
      </c>
      <c r="V165" s="1" t="s">
        <v>58</v>
      </c>
      <c r="W165" s="1" t="s">
        <v>59</v>
      </c>
      <c r="X165" s="1"/>
      <c r="Y165" s="1"/>
      <c r="Z165" s="1" t="s">
        <v>98</v>
      </c>
      <c r="AA165" s="1" t="s">
        <v>933</v>
      </c>
      <c r="AB165" s="1" t="str">
        <f>"***669228**"</f>
        <v>***669228**</v>
      </c>
      <c r="AC165" s="1"/>
      <c r="AD165" s="1" t="s">
        <v>62</v>
      </c>
      <c r="AE165" s="1"/>
      <c r="AF165" s="1">
        <v>-46.451668</v>
      </c>
      <c r="AG165" s="1">
        <v>-23.423056</v>
      </c>
      <c r="AH165" s="1" t="s">
        <v>934</v>
      </c>
      <c r="AI165" s="1"/>
      <c r="AJ165" s="1" t="s">
        <v>64</v>
      </c>
      <c r="AK165" s="1"/>
      <c r="AL165" s="1"/>
      <c r="AM165" s="1" t="s">
        <v>65</v>
      </c>
      <c r="AN165" s="1"/>
      <c r="AO165" s="1"/>
      <c r="AP165" s="2">
        <v>43816.8568634259</v>
      </c>
      <c r="AQ165" s="1"/>
      <c r="AR165" s="1" t="s">
        <v>935</v>
      </c>
      <c r="AS165" s="1"/>
      <c r="AT165" s="2">
        <v>44269.931099537</v>
      </c>
    </row>
    <row r="166" ht="13.5" customHeight="1">
      <c r="A166" s="1"/>
      <c r="B166" s="1" t="s">
        <v>46</v>
      </c>
      <c r="C166" s="1" t="s">
        <v>47</v>
      </c>
      <c r="D166" s="1"/>
      <c r="E166" s="1" t="s">
        <v>936</v>
      </c>
      <c r="F166" s="1"/>
      <c r="G166" s="1" t="s">
        <v>49</v>
      </c>
      <c r="H166" s="1" t="s">
        <v>93</v>
      </c>
      <c r="I166" s="1">
        <v>1000.0</v>
      </c>
      <c r="J166" s="1"/>
      <c r="K166" s="1"/>
      <c r="L166" s="1"/>
      <c r="M166" s="1" t="s">
        <v>937</v>
      </c>
      <c r="N166" s="1" t="s">
        <v>95</v>
      </c>
      <c r="O166" s="1" t="s">
        <v>96</v>
      </c>
      <c r="P166" s="2">
        <v>43816.7858564815</v>
      </c>
      <c r="Q166" s="1" t="s">
        <v>74</v>
      </c>
      <c r="R166" s="3">
        <v>43816.0</v>
      </c>
      <c r="S166" s="1"/>
      <c r="T166" s="1">
        <v>2504009.0</v>
      </c>
      <c r="U166" s="1" t="s">
        <v>727</v>
      </c>
      <c r="V166" s="1" t="s">
        <v>728</v>
      </c>
      <c r="W166" s="1" t="s">
        <v>113</v>
      </c>
      <c r="X166" s="1"/>
      <c r="Y166" s="1"/>
      <c r="Z166" s="1" t="s">
        <v>98</v>
      </c>
      <c r="AA166" s="1" t="s">
        <v>938</v>
      </c>
      <c r="AB166" s="1" t="str">
        <f>"***838684**"</f>
        <v>***838684**</v>
      </c>
      <c r="AC166" s="1"/>
      <c r="AD166" s="1" t="s">
        <v>62</v>
      </c>
      <c r="AE166" s="1"/>
      <c r="AF166" s="1">
        <v>-35.895889</v>
      </c>
      <c r="AG166" s="1">
        <v>-7.2175</v>
      </c>
      <c r="AH166" s="1" t="s">
        <v>939</v>
      </c>
      <c r="AI166" s="1"/>
      <c r="AJ166" s="1" t="s">
        <v>731</v>
      </c>
      <c r="AK166" s="1"/>
      <c r="AL166" s="1"/>
      <c r="AM166" s="1" t="s">
        <v>65</v>
      </c>
      <c r="AN166" s="1" t="s">
        <v>940</v>
      </c>
      <c r="AO166" s="1"/>
      <c r="AP166" s="2">
        <v>44119.8500115741</v>
      </c>
      <c r="AQ166" s="1"/>
      <c r="AR166" s="1" t="s">
        <v>941</v>
      </c>
      <c r="AS166" s="1" t="s">
        <v>942</v>
      </c>
      <c r="AT166" s="2">
        <v>44269.931099537</v>
      </c>
    </row>
    <row r="167" ht="13.5" customHeight="1">
      <c r="A167" s="1"/>
      <c r="B167" s="1" t="s">
        <v>46</v>
      </c>
      <c r="C167" s="1" t="s">
        <v>47</v>
      </c>
      <c r="D167" s="1"/>
      <c r="E167" s="1" t="s">
        <v>943</v>
      </c>
      <c r="F167" s="1"/>
      <c r="G167" s="1" t="s">
        <v>49</v>
      </c>
      <c r="H167" s="1" t="s">
        <v>93</v>
      </c>
      <c r="I167" s="1">
        <v>2000.0</v>
      </c>
      <c r="J167" s="1"/>
      <c r="K167" s="1"/>
      <c r="L167" s="1"/>
      <c r="M167" s="1" t="s">
        <v>944</v>
      </c>
      <c r="N167" s="1" t="s">
        <v>95</v>
      </c>
      <c r="O167" s="1" t="s">
        <v>96</v>
      </c>
      <c r="P167" s="2">
        <v>43816.7587152778</v>
      </c>
      <c r="Q167" s="1" t="s">
        <v>373</v>
      </c>
      <c r="R167" s="1"/>
      <c r="S167" s="1"/>
      <c r="T167" s="1">
        <v>3204005.0</v>
      </c>
      <c r="U167" s="1" t="s">
        <v>945</v>
      </c>
      <c r="V167" s="1" t="s">
        <v>403</v>
      </c>
      <c r="W167" s="1" t="s">
        <v>59</v>
      </c>
      <c r="X167" s="1"/>
      <c r="Y167" s="1"/>
      <c r="Z167" s="1" t="s">
        <v>98</v>
      </c>
      <c r="AA167" s="1" t="s">
        <v>946</v>
      </c>
      <c r="AB167" s="1" t="str">
        <f>"***057577**"</f>
        <v>***057577**</v>
      </c>
      <c r="AC167" s="1"/>
      <c r="AD167" s="1" t="s">
        <v>62</v>
      </c>
      <c r="AE167" s="1"/>
      <c r="AF167" s="1">
        <v>-40.850277</v>
      </c>
      <c r="AG167" s="1">
        <v>-19.225279</v>
      </c>
      <c r="AH167" s="1" t="s">
        <v>947</v>
      </c>
      <c r="AI167" s="1"/>
      <c r="AJ167" s="1" t="s">
        <v>406</v>
      </c>
      <c r="AK167" s="1"/>
      <c r="AL167" s="1"/>
      <c r="AM167" s="1" t="s">
        <v>65</v>
      </c>
      <c r="AN167" s="1" t="s">
        <v>925</v>
      </c>
      <c r="AO167" s="1"/>
      <c r="AP167" s="2">
        <v>43816.7776736111</v>
      </c>
      <c r="AQ167" s="1"/>
      <c r="AR167" s="1" t="s">
        <v>948</v>
      </c>
      <c r="AS167" s="1"/>
      <c r="AT167" s="2">
        <v>44269.931099537</v>
      </c>
    </row>
    <row r="168" ht="13.5" customHeight="1">
      <c r="A168" s="1">
        <v>2043884.0</v>
      </c>
      <c r="B168" s="1" t="s">
        <v>67</v>
      </c>
      <c r="C168" s="1" t="s">
        <v>68</v>
      </c>
      <c r="D168" s="1" t="s">
        <v>46</v>
      </c>
      <c r="E168" s="1" t="s">
        <v>949</v>
      </c>
      <c r="F168" s="1"/>
      <c r="G168" s="1" t="s">
        <v>70</v>
      </c>
      <c r="H168" s="1" t="s">
        <v>93</v>
      </c>
      <c r="I168" s="1">
        <v>4000.0</v>
      </c>
      <c r="J168" s="1"/>
      <c r="K168" s="1"/>
      <c r="L168" s="1" t="s">
        <v>172</v>
      </c>
      <c r="M168" s="1" t="s">
        <v>950</v>
      </c>
      <c r="N168" s="1" t="s">
        <v>95</v>
      </c>
      <c r="O168" s="1" t="s">
        <v>96</v>
      </c>
      <c r="P168" s="2">
        <v>43816.75</v>
      </c>
      <c r="Q168" s="1" t="s">
        <v>74</v>
      </c>
      <c r="R168" s="3">
        <v>43816.0</v>
      </c>
      <c r="S168" s="1"/>
      <c r="T168" s="1">
        <v>1304062.0</v>
      </c>
      <c r="U168" s="1" t="s">
        <v>805</v>
      </c>
      <c r="V168" s="1" t="s">
        <v>486</v>
      </c>
      <c r="W168" s="1" t="s">
        <v>177</v>
      </c>
      <c r="X168" s="1"/>
      <c r="Y168" s="1" t="str">
        <f>"02001004276202115"</f>
        <v>02001004276202115</v>
      </c>
      <c r="Z168" s="1" t="s">
        <v>98</v>
      </c>
      <c r="AA168" s="1" t="s">
        <v>951</v>
      </c>
      <c r="AB168" s="1" t="str">
        <f>"***026942**"</f>
        <v>***026942**</v>
      </c>
      <c r="AC168" s="1"/>
      <c r="AD168" s="1"/>
      <c r="AE168" s="1"/>
      <c r="AF168" s="1">
        <v>-69.944444</v>
      </c>
      <c r="AG168" s="1">
        <v>-4.234025</v>
      </c>
      <c r="AH168" s="1" t="s">
        <v>952</v>
      </c>
      <c r="AI168" s="1"/>
      <c r="AJ168" s="1" t="s">
        <v>172</v>
      </c>
      <c r="AK168" s="1"/>
      <c r="AL168" s="1" t="s">
        <v>79</v>
      </c>
      <c r="AM168" s="1" t="s">
        <v>65</v>
      </c>
      <c r="AN168" s="1" t="s">
        <v>808</v>
      </c>
      <c r="AO168" s="2">
        <v>44257.0</v>
      </c>
      <c r="AP168" s="2">
        <v>44257.503587963</v>
      </c>
      <c r="AQ168" s="1" t="s">
        <v>80</v>
      </c>
      <c r="AR168" s="1" t="s">
        <v>953</v>
      </c>
      <c r="AS168" s="1" t="s">
        <v>954</v>
      </c>
      <c r="AT168" s="2">
        <v>44269.931099537</v>
      </c>
    </row>
    <row r="169" ht="13.5" customHeight="1">
      <c r="A169" s="1"/>
      <c r="B169" s="1" t="s">
        <v>46</v>
      </c>
      <c r="C169" s="1" t="s">
        <v>47</v>
      </c>
      <c r="D169" s="1"/>
      <c r="E169" s="1" t="s">
        <v>955</v>
      </c>
      <c r="F169" s="1"/>
      <c r="G169" s="1" t="s">
        <v>49</v>
      </c>
      <c r="H169" s="1" t="s">
        <v>93</v>
      </c>
      <c r="I169" s="1">
        <v>1000.0</v>
      </c>
      <c r="J169" s="1"/>
      <c r="K169" s="1"/>
      <c r="L169" s="1"/>
      <c r="M169" s="1" t="s">
        <v>937</v>
      </c>
      <c r="N169" s="1" t="s">
        <v>95</v>
      </c>
      <c r="O169" s="1" t="s">
        <v>96</v>
      </c>
      <c r="P169" s="2">
        <v>43816.6914930556</v>
      </c>
      <c r="Q169" s="1" t="s">
        <v>74</v>
      </c>
      <c r="R169" s="3">
        <v>43816.0</v>
      </c>
      <c r="S169" s="1"/>
      <c r="T169" s="1">
        <v>2504009.0</v>
      </c>
      <c r="U169" s="1" t="s">
        <v>727</v>
      </c>
      <c r="V169" s="1" t="s">
        <v>728</v>
      </c>
      <c r="W169" s="1" t="s">
        <v>113</v>
      </c>
      <c r="X169" s="1"/>
      <c r="Y169" s="1"/>
      <c r="Z169" s="1" t="s">
        <v>98</v>
      </c>
      <c r="AA169" s="1" t="s">
        <v>956</v>
      </c>
      <c r="AB169" s="1" t="str">
        <f>"***838684**"</f>
        <v>***838684**</v>
      </c>
      <c r="AC169" s="1"/>
      <c r="AD169" s="1" t="s">
        <v>62</v>
      </c>
      <c r="AE169" s="1"/>
      <c r="AF169" s="1">
        <v>-35.895836</v>
      </c>
      <c r="AG169" s="1">
        <v>-4.217722</v>
      </c>
      <c r="AH169" s="1" t="s">
        <v>939</v>
      </c>
      <c r="AI169" s="1"/>
      <c r="AJ169" s="1" t="s">
        <v>731</v>
      </c>
      <c r="AK169" s="1"/>
      <c r="AL169" s="1"/>
      <c r="AM169" s="1" t="s">
        <v>65</v>
      </c>
      <c r="AN169" s="1" t="s">
        <v>940</v>
      </c>
      <c r="AO169" s="1"/>
      <c r="AP169" s="2">
        <v>44119.8501041667</v>
      </c>
      <c r="AQ169" s="1"/>
      <c r="AR169" s="1" t="s">
        <v>941</v>
      </c>
      <c r="AS169" s="1" t="s">
        <v>957</v>
      </c>
      <c r="AT169" s="2">
        <v>44269.931099537</v>
      </c>
    </row>
    <row r="170" ht="13.5" customHeight="1">
      <c r="A170" s="1">
        <v>2034921.0</v>
      </c>
      <c r="B170" s="1" t="s">
        <v>67</v>
      </c>
      <c r="C170" s="1" t="s">
        <v>68</v>
      </c>
      <c r="D170" s="1" t="s">
        <v>46</v>
      </c>
      <c r="E170" s="1" t="s">
        <v>958</v>
      </c>
      <c r="F170" s="1"/>
      <c r="G170" s="1" t="s">
        <v>70</v>
      </c>
      <c r="H170" s="1" t="s">
        <v>50</v>
      </c>
      <c r="I170" s="1">
        <v>116000.0</v>
      </c>
      <c r="J170" s="1"/>
      <c r="K170" s="1"/>
      <c r="L170" s="1" t="s">
        <v>151</v>
      </c>
      <c r="M170" s="1" t="s">
        <v>959</v>
      </c>
      <c r="N170" s="1" t="s">
        <v>53</v>
      </c>
      <c r="O170" s="1" t="s">
        <v>54</v>
      </c>
      <c r="P170" s="2">
        <v>43816.6666666667</v>
      </c>
      <c r="Q170" s="1" t="s">
        <v>74</v>
      </c>
      <c r="R170" s="3">
        <v>43816.0</v>
      </c>
      <c r="S170" s="1"/>
      <c r="T170" s="1">
        <v>4317301.0</v>
      </c>
      <c r="U170" s="1" t="s">
        <v>960</v>
      </c>
      <c r="V170" s="1" t="s">
        <v>145</v>
      </c>
      <c r="W170" s="1" t="s">
        <v>288</v>
      </c>
      <c r="X170" s="1"/>
      <c r="Y170" s="1" t="str">
        <f>"02023003617201962"</f>
        <v>02023003617201962</v>
      </c>
      <c r="Z170" s="1" t="s">
        <v>60</v>
      </c>
      <c r="AA170" s="1" t="s">
        <v>961</v>
      </c>
      <c r="AB170" s="1" t="str">
        <f>"***117490**"</f>
        <v>***117490**</v>
      </c>
      <c r="AC170" s="1"/>
      <c r="AD170" s="1"/>
      <c r="AE170" s="1"/>
      <c r="AF170" s="1">
        <v>-52.914169</v>
      </c>
      <c r="AG170" s="1">
        <v>-33.414169</v>
      </c>
      <c r="AH170" s="1" t="s">
        <v>962</v>
      </c>
      <c r="AI170" s="1"/>
      <c r="AJ170" s="1" t="s">
        <v>151</v>
      </c>
      <c r="AK170" s="1"/>
      <c r="AL170" s="1" t="s">
        <v>79</v>
      </c>
      <c r="AM170" s="1" t="s">
        <v>65</v>
      </c>
      <c r="AN170" s="1" t="s">
        <v>152</v>
      </c>
      <c r="AO170" s="2">
        <v>43892.0</v>
      </c>
      <c r="AP170" s="2">
        <v>43892.7075115741</v>
      </c>
      <c r="AQ170" s="1" t="s">
        <v>80</v>
      </c>
      <c r="AR170" s="1" t="s">
        <v>676</v>
      </c>
      <c r="AS170" s="1" t="s">
        <v>963</v>
      </c>
      <c r="AT170" s="2">
        <v>44269.931099537</v>
      </c>
    </row>
    <row r="171" ht="13.5" customHeight="1">
      <c r="A171" s="1">
        <v>2035539.0</v>
      </c>
      <c r="B171" s="1" t="s">
        <v>67</v>
      </c>
      <c r="C171" s="1" t="s">
        <v>68</v>
      </c>
      <c r="D171" s="1" t="s">
        <v>46</v>
      </c>
      <c r="E171" s="1" t="s">
        <v>964</v>
      </c>
      <c r="F171" s="1"/>
      <c r="G171" s="1" t="s">
        <v>70</v>
      </c>
      <c r="H171" s="1" t="s">
        <v>93</v>
      </c>
      <c r="I171" s="1">
        <v>40395.9</v>
      </c>
      <c r="J171" s="1"/>
      <c r="K171" s="1"/>
      <c r="L171" s="1" t="s">
        <v>172</v>
      </c>
      <c r="M171" s="1" t="s">
        <v>965</v>
      </c>
      <c r="N171" s="1" t="s">
        <v>142</v>
      </c>
      <c r="O171" s="1" t="s">
        <v>143</v>
      </c>
      <c r="P171" s="2">
        <v>43816.6666666667</v>
      </c>
      <c r="Q171" s="1" t="s">
        <v>55</v>
      </c>
      <c r="R171" s="3">
        <v>43816.0</v>
      </c>
      <c r="S171" s="1"/>
      <c r="T171" s="1">
        <v>1400605.0</v>
      </c>
      <c r="U171" s="1" t="s">
        <v>928</v>
      </c>
      <c r="V171" s="1" t="s">
        <v>186</v>
      </c>
      <c r="W171" s="1" t="s">
        <v>177</v>
      </c>
      <c r="X171" s="1"/>
      <c r="Y171" s="1" t="str">
        <f>"02001007418202015"</f>
        <v>02001007418202015</v>
      </c>
      <c r="Z171" s="1" t="s">
        <v>147</v>
      </c>
      <c r="AA171" s="1" t="s">
        <v>929</v>
      </c>
      <c r="AB171" s="1" t="str">
        <f>"28901561000180"</f>
        <v>28901561000180</v>
      </c>
      <c r="AC171" s="1"/>
      <c r="AD171" s="1"/>
      <c r="AE171" s="1"/>
      <c r="AF171" s="1">
        <v>-60.001667</v>
      </c>
      <c r="AG171" s="1">
        <v>1.0025</v>
      </c>
      <c r="AH171" s="1" t="s">
        <v>930</v>
      </c>
      <c r="AI171" s="1"/>
      <c r="AJ171" s="1" t="s">
        <v>172</v>
      </c>
      <c r="AK171" s="1"/>
      <c r="AL171" s="1" t="s">
        <v>79</v>
      </c>
      <c r="AM171" s="1" t="s">
        <v>65</v>
      </c>
      <c r="AN171" s="1" t="s">
        <v>180</v>
      </c>
      <c r="AO171" s="2">
        <v>43908.0</v>
      </c>
      <c r="AP171" s="2">
        <v>43908.3644907407</v>
      </c>
      <c r="AQ171" s="1" t="s">
        <v>80</v>
      </c>
      <c r="AR171" s="1" t="s">
        <v>966</v>
      </c>
      <c r="AS171" s="1"/>
      <c r="AT171" s="2">
        <v>44269.931099537</v>
      </c>
    </row>
    <row r="172" ht="13.5" customHeight="1">
      <c r="A172" s="1">
        <v>2038231.0</v>
      </c>
      <c r="B172" s="1" t="s">
        <v>67</v>
      </c>
      <c r="C172" s="1" t="s">
        <v>68</v>
      </c>
      <c r="D172" s="1" t="s">
        <v>46</v>
      </c>
      <c r="E172" s="1" t="s">
        <v>967</v>
      </c>
      <c r="F172" s="1"/>
      <c r="G172" s="1" t="s">
        <v>70</v>
      </c>
      <c r="H172" s="1" t="s">
        <v>50</v>
      </c>
      <c r="I172" s="1">
        <v>26000.0</v>
      </c>
      <c r="J172" s="1"/>
      <c r="K172" s="1"/>
      <c r="L172" s="1" t="s">
        <v>291</v>
      </c>
      <c r="M172" s="1" t="s">
        <v>968</v>
      </c>
      <c r="N172" s="1" t="s">
        <v>283</v>
      </c>
      <c r="O172" s="1" t="s">
        <v>284</v>
      </c>
      <c r="P172" s="2">
        <v>43816.6666666667</v>
      </c>
      <c r="Q172" s="1" t="s">
        <v>74</v>
      </c>
      <c r="R172" s="1"/>
      <c r="S172" s="1"/>
      <c r="T172" s="1">
        <v>3304557.0</v>
      </c>
      <c r="U172" s="1" t="s">
        <v>286</v>
      </c>
      <c r="V172" s="1" t="s">
        <v>287</v>
      </c>
      <c r="W172" s="1" t="s">
        <v>288</v>
      </c>
      <c r="X172" s="1"/>
      <c r="Y172" s="1" t="str">
        <f>"02022005247201916"</f>
        <v>02022005247201916</v>
      </c>
      <c r="Z172" s="1" t="s">
        <v>128</v>
      </c>
      <c r="AA172" s="1" t="s">
        <v>289</v>
      </c>
      <c r="AB172" s="1" t="str">
        <f>"33000167000101"</f>
        <v>33000167000101</v>
      </c>
      <c r="AC172" s="1"/>
      <c r="AD172" s="1"/>
      <c r="AE172" s="1"/>
      <c r="AF172" s="1">
        <v>-43.175003</v>
      </c>
      <c r="AG172" s="1">
        <v>-22.903055</v>
      </c>
      <c r="AH172" s="1" t="s">
        <v>969</v>
      </c>
      <c r="AI172" s="1"/>
      <c r="AJ172" s="1" t="s">
        <v>291</v>
      </c>
      <c r="AK172" s="1"/>
      <c r="AL172" s="1" t="s">
        <v>79</v>
      </c>
      <c r="AM172" s="1" t="s">
        <v>65</v>
      </c>
      <c r="AN172" s="1" t="s">
        <v>292</v>
      </c>
      <c r="AO172" s="2">
        <v>44027.0</v>
      </c>
      <c r="AP172" s="2">
        <v>44027.7699652778</v>
      </c>
      <c r="AQ172" s="1" t="s">
        <v>80</v>
      </c>
      <c r="AR172" s="1" t="s">
        <v>298</v>
      </c>
      <c r="AS172" s="1" t="s">
        <v>774</v>
      </c>
      <c r="AT172" s="2">
        <v>44269.931099537</v>
      </c>
    </row>
    <row r="173" ht="13.5" customHeight="1">
      <c r="A173" s="1">
        <v>2039494.0</v>
      </c>
      <c r="B173" s="1" t="s">
        <v>67</v>
      </c>
      <c r="C173" s="1" t="s">
        <v>68</v>
      </c>
      <c r="D173" s="1" t="s">
        <v>46</v>
      </c>
      <c r="E173" s="1" t="s">
        <v>970</v>
      </c>
      <c r="F173" s="1"/>
      <c r="G173" s="1" t="s">
        <v>70</v>
      </c>
      <c r="H173" s="1" t="s">
        <v>93</v>
      </c>
      <c r="I173" s="1">
        <v>418000.0</v>
      </c>
      <c r="J173" s="1"/>
      <c r="K173" s="1"/>
      <c r="L173" s="1" t="s">
        <v>264</v>
      </c>
      <c r="M173" s="1" t="s">
        <v>971</v>
      </c>
      <c r="N173" s="1" t="s">
        <v>95</v>
      </c>
      <c r="O173" s="1" t="s">
        <v>96</v>
      </c>
      <c r="P173" s="2">
        <v>43816.6666666667</v>
      </c>
      <c r="Q173" s="1" t="s">
        <v>74</v>
      </c>
      <c r="R173" s="3">
        <v>43811.0</v>
      </c>
      <c r="S173" s="1"/>
      <c r="T173" s="1">
        <v>4208302.0</v>
      </c>
      <c r="U173" s="1" t="s">
        <v>972</v>
      </c>
      <c r="V173" s="1" t="s">
        <v>267</v>
      </c>
      <c r="W173" s="1" t="s">
        <v>59</v>
      </c>
      <c r="X173" s="1"/>
      <c r="Y173" s="1"/>
      <c r="Z173" s="1" t="s">
        <v>98</v>
      </c>
      <c r="AA173" s="1" t="s">
        <v>973</v>
      </c>
      <c r="AB173" s="1" t="str">
        <f>"***332679**"</f>
        <v>***332679**</v>
      </c>
      <c r="AC173" s="1"/>
      <c r="AD173" s="1"/>
      <c r="AE173" s="1"/>
      <c r="AF173" s="1">
        <v>-48.641945</v>
      </c>
      <c r="AG173" s="1">
        <v>-27.081112</v>
      </c>
      <c r="AH173" s="1" t="s">
        <v>974</v>
      </c>
      <c r="AI173" s="1"/>
      <c r="AJ173" s="1" t="s">
        <v>264</v>
      </c>
      <c r="AK173" s="1"/>
      <c r="AL173" s="1" t="s">
        <v>79</v>
      </c>
      <c r="AM173" s="1" t="s">
        <v>65</v>
      </c>
      <c r="AN173" s="1" t="s">
        <v>152</v>
      </c>
      <c r="AO173" s="2">
        <v>44064.0</v>
      </c>
      <c r="AP173" s="2">
        <v>44064.2240625</v>
      </c>
      <c r="AQ173" s="1" t="s">
        <v>80</v>
      </c>
      <c r="AR173" s="1" t="s">
        <v>254</v>
      </c>
      <c r="AS173" s="1"/>
      <c r="AT173" s="2">
        <v>44269.931099537</v>
      </c>
    </row>
    <row r="174" ht="13.5" customHeight="1">
      <c r="A174" s="1"/>
      <c r="B174" s="1" t="s">
        <v>46</v>
      </c>
      <c r="C174" s="1" t="s">
        <v>47</v>
      </c>
      <c r="D174" s="1"/>
      <c r="E174" s="1" t="s">
        <v>975</v>
      </c>
      <c r="F174" s="1"/>
      <c r="G174" s="1" t="s">
        <v>49</v>
      </c>
      <c r="H174" s="1" t="s">
        <v>50</v>
      </c>
      <c r="I174" s="1">
        <v>405000.0</v>
      </c>
      <c r="J174" s="1"/>
      <c r="K174" s="1" t="s">
        <v>140</v>
      </c>
      <c r="L174" s="1"/>
      <c r="M174" s="1" t="s">
        <v>976</v>
      </c>
      <c r="N174" s="1" t="s">
        <v>977</v>
      </c>
      <c r="O174" s="1" t="s">
        <v>978</v>
      </c>
      <c r="P174" s="2">
        <v>43816.6580092593</v>
      </c>
      <c r="Q174" s="1" t="s">
        <v>74</v>
      </c>
      <c r="R174" s="1"/>
      <c r="S174" s="1"/>
      <c r="T174" s="1">
        <v>3205002.0</v>
      </c>
      <c r="U174" s="1" t="s">
        <v>979</v>
      </c>
      <c r="V174" s="1" t="s">
        <v>403</v>
      </c>
      <c r="W174" s="1" t="s">
        <v>59</v>
      </c>
      <c r="X174" s="1"/>
      <c r="Y174" s="1"/>
      <c r="Z174" s="1" t="s">
        <v>980</v>
      </c>
      <c r="AA174" s="1" t="s">
        <v>981</v>
      </c>
      <c r="AB174" s="1" t="str">
        <f>"04504200000132"</f>
        <v>04504200000132</v>
      </c>
      <c r="AC174" s="1"/>
      <c r="AD174" s="1" t="s">
        <v>149</v>
      </c>
      <c r="AE174" s="1"/>
      <c r="AF174" s="1">
        <v>-40.381664</v>
      </c>
      <c r="AG174" s="1">
        <v>-20.241945</v>
      </c>
      <c r="AH174" s="1" t="s">
        <v>982</v>
      </c>
      <c r="AI174" s="1"/>
      <c r="AJ174" s="1" t="s">
        <v>172</v>
      </c>
      <c r="AK174" s="1"/>
      <c r="AL174" s="1"/>
      <c r="AM174" s="1" t="s">
        <v>65</v>
      </c>
      <c r="AN174" s="1" t="s">
        <v>983</v>
      </c>
      <c r="AO174" s="1"/>
      <c r="AP174" s="2">
        <v>44008.7377546296</v>
      </c>
      <c r="AQ174" s="1"/>
      <c r="AR174" s="1" t="s">
        <v>984</v>
      </c>
      <c r="AS174" s="1" t="s">
        <v>985</v>
      </c>
      <c r="AT174" s="2">
        <v>44269.931099537</v>
      </c>
    </row>
    <row r="175" ht="13.5" customHeight="1">
      <c r="A175" s="1"/>
      <c r="B175" s="1" t="s">
        <v>46</v>
      </c>
      <c r="C175" s="1" t="s">
        <v>47</v>
      </c>
      <c r="D175" s="1"/>
      <c r="E175" s="1" t="s">
        <v>986</v>
      </c>
      <c r="F175" s="1"/>
      <c r="G175" s="1" t="s">
        <v>49</v>
      </c>
      <c r="H175" s="1" t="s">
        <v>50</v>
      </c>
      <c r="I175" s="1">
        <v>28500.0</v>
      </c>
      <c r="J175" s="1"/>
      <c r="K175" s="1" t="s">
        <v>51</v>
      </c>
      <c r="L175" s="1"/>
      <c r="M175" s="1" t="s">
        <v>987</v>
      </c>
      <c r="N175" s="1" t="s">
        <v>53</v>
      </c>
      <c r="O175" s="1" t="s">
        <v>54</v>
      </c>
      <c r="P175" s="2">
        <v>43816.6568518519</v>
      </c>
      <c r="Q175" s="1" t="s">
        <v>373</v>
      </c>
      <c r="R175" s="1"/>
      <c r="S175" s="1"/>
      <c r="T175" s="1">
        <v>1505106.0</v>
      </c>
      <c r="U175" s="1" t="s">
        <v>762</v>
      </c>
      <c r="V175" s="1" t="s">
        <v>193</v>
      </c>
      <c r="W175" s="1" t="s">
        <v>177</v>
      </c>
      <c r="X175" s="1"/>
      <c r="Y175" s="1"/>
      <c r="Z175" s="1" t="s">
        <v>60</v>
      </c>
      <c r="AA175" s="1" t="s">
        <v>988</v>
      </c>
      <c r="AB175" s="1" t="str">
        <f>"***419152**"</f>
        <v>***419152**</v>
      </c>
      <c r="AC175" s="1"/>
      <c r="AD175" s="1" t="s">
        <v>149</v>
      </c>
      <c r="AE175" s="1"/>
      <c r="AF175" s="1">
        <v>-55.517223</v>
      </c>
      <c r="AG175" s="1">
        <v>-1.918889</v>
      </c>
      <c r="AH175" s="1" t="s">
        <v>764</v>
      </c>
      <c r="AI175" s="1"/>
      <c r="AJ175" s="1" t="s">
        <v>765</v>
      </c>
      <c r="AK175" s="1"/>
      <c r="AL175" s="1"/>
      <c r="AM175" s="1" t="s">
        <v>65</v>
      </c>
      <c r="AN175" s="1" t="s">
        <v>766</v>
      </c>
      <c r="AO175" s="1"/>
      <c r="AP175" s="2">
        <v>43816.8183101852</v>
      </c>
      <c r="AQ175" s="1"/>
      <c r="AR175" s="1" t="s">
        <v>989</v>
      </c>
      <c r="AS175" s="1" t="s">
        <v>990</v>
      </c>
      <c r="AT175" s="2">
        <v>44269.931099537</v>
      </c>
    </row>
    <row r="176" ht="13.5" customHeight="1">
      <c r="A176" s="1"/>
      <c r="B176" s="1" t="s">
        <v>46</v>
      </c>
      <c r="C176" s="1" t="s">
        <v>47</v>
      </c>
      <c r="D176" s="1"/>
      <c r="E176" s="1" t="s">
        <v>991</v>
      </c>
      <c r="F176" s="1"/>
      <c r="G176" s="1" t="s">
        <v>49</v>
      </c>
      <c r="H176" s="1" t="s">
        <v>50</v>
      </c>
      <c r="I176" s="1">
        <v>1500.0</v>
      </c>
      <c r="J176" s="1"/>
      <c r="K176" s="1" t="s">
        <v>51</v>
      </c>
      <c r="L176" s="1"/>
      <c r="M176" s="1" t="s">
        <v>992</v>
      </c>
      <c r="N176" s="1" t="s">
        <v>123</v>
      </c>
      <c r="O176" s="1" t="s">
        <v>73</v>
      </c>
      <c r="P176" s="2">
        <v>43816.6419097222</v>
      </c>
      <c r="Q176" s="1" t="s">
        <v>74</v>
      </c>
      <c r="R176" s="3">
        <v>43816.0</v>
      </c>
      <c r="S176" s="1"/>
      <c r="T176" s="1">
        <v>3548708.0</v>
      </c>
      <c r="U176" s="1" t="s">
        <v>993</v>
      </c>
      <c r="V176" s="1" t="s">
        <v>58</v>
      </c>
      <c r="W176" s="1" t="s">
        <v>59</v>
      </c>
      <c r="X176" s="1"/>
      <c r="Y176" s="1"/>
      <c r="Z176" s="1" t="s">
        <v>76</v>
      </c>
      <c r="AA176" s="1" t="s">
        <v>994</v>
      </c>
      <c r="AB176" s="1" t="str">
        <f>"***852158**"</f>
        <v>***852158**</v>
      </c>
      <c r="AC176" s="1"/>
      <c r="AD176" s="1" t="s">
        <v>149</v>
      </c>
      <c r="AE176" s="1"/>
      <c r="AF176" s="1">
        <v>-46.668611</v>
      </c>
      <c r="AG176" s="1">
        <v>-23.559722</v>
      </c>
      <c r="AH176" s="1" t="s">
        <v>995</v>
      </c>
      <c r="AI176" s="1"/>
      <c r="AJ176" s="1" t="s">
        <v>64</v>
      </c>
      <c r="AK176" s="1"/>
      <c r="AL176" s="1"/>
      <c r="AM176" s="1" t="s">
        <v>65</v>
      </c>
      <c r="AN176" s="1"/>
      <c r="AO176" s="1"/>
      <c r="AP176" s="2">
        <v>44251.8022222222</v>
      </c>
      <c r="AQ176" s="1"/>
      <c r="AR176" s="1" t="s">
        <v>153</v>
      </c>
      <c r="AS176" s="1" t="s">
        <v>88</v>
      </c>
      <c r="AT176" s="2">
        <v>44269.931099537</v>
      </c>
    </row>
    <row r="177" ht="13.5" customHeight="1">
      <c r="A177" s="1">
        <v>2034920.0</v>
      </c>
      <c r="B177" s="1" t="s">
        <v>67</v>
      </c>
      <c r="C177" s="1" t="s">
        <v>68</v>
      </c>
      <c r="D177" s="1" t="s">
        <v>46</v>
      </c>
      <c r="E177" s="1" t="s">
        <v>996</v>
      </c>
      <c r="F177" s="1"/>
      <c r="G177" s="1" t="s">
        <v>70</v>
      </c>
      <c r="H177" s="1" t="s">
        <v>50</v>
      </c>
      <c r="I177" s="1">
        <v>116000.0</v>
      </c>
      <c r="J177" s="1"/>
      <c r="K177" s="1"/>
      <c r="L177" s="1" t="s">
        <v>151</v>
      </c>
      <c r="M177" s="1" t="s">
        <v>997</v>
      </c>
      <c r="N177" s="1" t="s">
        <v>53</v>
      </c>
      <c r="O177" s="1" t="s">
        <v>54</v>
      </c>
      <c r="P177" s="2">
        <v>43816.625</v>
      </c>
      <c r="Q177" s="1" t="s">
        <v>74</v>
      </c>
      <c r="R177" s="3">
        <v>43816.0</v>
      </c>
      <c r="S177" s="1"/>
      <c r="T177" s="1">
        <v>4317301.0</v>
      </c>
      <c r="U177" s="1" t="s">
        <v>960</v>
      </c>
      <c r="V177" s="1" t="s">
        <v>145</v>
      </c>
      <c r="W177" s="1" t="s">
        <v>288</v>
      </c>
      <c r="X177" s="1"/>
      <c r="Y177" s="1" t="str">
        <f>"02023003582201961"</f>
        <v>02023003582201961</v>
      </c>
      <c r="Z177" s="1" t="s">
        <v>60</v>
      </c>
      <c r="AA177" s="1" t="s">
        <v>961</v>
      </c>
      <c r="AB177" s="1" t="str">
        <f>"***117490**"</f>
        <v>***117490**</v>
      </c>
      <c r="AC177" s="1"/>
      <c r="AD177" s="1"/>
      <c r="AE177" s="1"/>
      <c r="AF177" s="1">
        <v>-52.914169</v>
      </c>
      <c r="AG177" s="1">
        <v>-33.414169</v>
      </c>
      <c r="AH177" s="1" t="s">
        <v>998</v>
      </c>
      <c r="AI177" s="1"/>
      <c r="AJ177" s="1" t="s">
        <v>151</v>
      </c>
      <c r="AK177" s="1"/>
      <c r="AL177" s="1" t="s">
        <v>79</v>
      </c>
      <c r="AM177" s="1" t="s">
        <v>65</v>
      </c>
      <c r="AN177" s="1" t="s">
        <v>152</v>
      </c>
      <c r="AO177" s="2">
        <v>43892.0</v>
      </c>
      <c r="AP177" s="2">
        <v>43892.7073611111</v>
      </c>
      <c r="AQ177" s="1" t="s">
        <v>80</v>
      </c>
      <c r="AR177" s="1" t="s">
        <v>676</v>
      </c>
      <c r="AS177" s="1" t="s">
        <v>999</v>
      </c>
      <c r="AT177" s="2">
        <v>44269.931099537</v>
      </c>
    </row>
    <row r="178" ht="13.5" customHeight="1">
      <c r="A178" s="1">
        <v>2035540.0</v>
      </c>
      <c r="B178" s="1" t="s">
        <v>67</v>
      </c>
      <c r="C178" s="1" t="s">
        <v>68</v>
      </c>
      <c r="D178" s="1" t="s">
        <v>46</v>
      </c>
      <c r="E178" s="1" t="s">
        <v>1000</v>
      </c>
      <c r="F178" s="1"/>
      <c r="G178" s="1" t="s">
        <v>70</v>
      </c>
      <c r="H178" s="1" t="s">
        <v>93</v>
      </c>
      <c r="I178" s="1">
        <v>16675.68</v>
      </c>
      <c r="J178" s="1"/>
      <c r="K178" s="1"/>
      <c r="L178" s="1" t="s">
        <v>172</v>
      </c>
      <c r="M178" s="1" t="s">
        <v>1001</v>
      </c>
      <c r="N178" s="1" t="s">
        <v>142</v>
      </c>
      <c r="O178" s="1" t="s">
        <v>143</v>
      </c>
      <c r="P178" s="2">
        <v>43816.625</v>
      </c>
      <c r="Q178" s="1" t="s">
        <v>55</v>
      </c>
      <c r="R178" s="3">
        <v>43816.0</v>
      </c>
      <c r="S178" s="1"/>
      <c r="T178" s="1">
        <v>1400605.0</v>
      </c>
      <c r="U178" s="1" t="s">
        <v>928</v>
      </c>
      <c r="V178" s="1" t="s">
        <v>186</v>
      </c>
      <c r="W178" s="1" t="s">
        <v>177</v>
      </c>
      <c r="X178" s="1"/>
      <c r="Y178" s="1" t="str">
        <f>"02001007419202060"</f>
        <v>02001007419202060</v>
      </c>
      <c r="Z178" s="1" t="s">
        <v>147</v>
      </c>
      <c r="AA178" s="1" t="s">
        <v>929</v>
      </c>
      <c r="AB178" s="1" t="str">
        <f>"28901561000180"</f>
        <v>28901561000180</v>
      </c>
      <c r="AC178" s="1"/>
      <c r="AD178" s="1"/>
      <c r="AE178" s="1"/>
      <c r="AF178" s="1">
        <v>-60.001667</v>
      </c>
      <c r="AG178" s="1">
        <v>1.0025</v>
      </c>
      <c r="AH178" s="1" t="s">
        <v>1002</v>
      </c>
      <c r="AI178" s="1"/>
      <c r="AJ178" s="1" t="s">
        <v>172</v>
      </c>
      <c r="AK178" s="1"/>
      <c r="AL178" s="1" t="s">
        <v>79</v>
      </c>
      <c r="AM178" s="1" t="s">
        <v>65</v>
      </c>
      <c r="AN178" s="1" t="s">
        <v>180</v>
      </c>
      <c r="AO178" s="2">
        <v>43908.0</v>
      </c>
      <c r="AP178" s="2">
        <v>43908.3648726852</v>
      </c>
      <c r="AQ178" s="1" t="s">
        <v>80</v>
      </c>
      <c r="AR178" s="1" t="s">
        <v>577</v>
      </c>
      <c r="AS178" s="1"/>
      <c r="AT178" s="2">
        <v>44269.931099537</v>
      </c>
    </row>
    <row r="179" ht="13.5" customHeight="1">
      <c r="A179" s="1">
        <v>2037538.0</v>
      </c>
      <c r="B179" s="1" t="s">
        <v>67</v>
      </c>
      <c r="C179" s="1" t="s">
        <v>68</v>
      </c>
      <c r="D179" s="1" t="s">
        <v>46</v>
      </c>
      <c r="E179" s="1" t="s">
        <v>1003</v>
      </c>
      <c r="F179" s="1"/>
      <c r="G179" s="1" t="s">
        <v>70</v>
      </c>
      <c r="H179" s="1" t="s">
        <v>93</v>
      </c>
      <c r="I179" s="1">
        <v>45000.0</v>
      </c>
      <c r="J179" s="1"/>
      <c r="K179" s="1"/>
      <c r="L179" s="1" t="s">
        <v>800</v>
      </c>
      <c r="M179" s="1" t="s">
        <v>1004</v>
      </c>
      <c r="N179" s="1" t="s">
        <v>142</v>
      </c>
      <c r="O179" s="1" t="s">
        <v>143</v>
      </c>
      <c r="P179" s="2">
        <v>43816.625</v>
      </c>
      <c r="Q179" s="1" t="s">
        <v>373</v>
      </c>
      <c r="R179" s="3">
        <v>43816.0</v>
      </c>
      <c r="S179" s="1"/>
      <c r="T179" s="1">
        <v>1600501.0</v>
      </c>
      <c r="U179" s="1" t="s">
        <v>1005</v>
      </c>
      <c r="V179" s="1" t="s">
        <v>797</v>
      </c>
      <c r="W179" s="1" t="s">
        <v>177</v>
      </c>
      <c r="X179" s="1"/>
      <c r="Y179" s="1" t="str">
        <f>"02004000726202090"</f>
        <v>02004000726202090</v>
      </c>
      <c r="Z179" s="1" t="s">
        <v>147</v>
      </c>
      <c r="AA179" s="1" t="s">
        <v>1006</v>
      </c>
      <c r="AB179" s="1" t="str">
        <f>"***403832**"</f>
        <v>***403832**</v>
      </c>
      <c r="AC179" s="1"/>
      <c r="AD179" s="1"/>
      <c r="AE179" s="1"/>
      <c r="AF179" s="1">
        <v>-51.443611</v>
      </c>
      <c r="AG179" s="1">
        <v>2.755833</v>
      </c>
      <c r="AH179" s="1" t="s">
        <v>1007</v>
      </c>
      <c r="AI179" s="1"/>
      <c r="AJ179" s="1" t="s">
        <v>800</v>
      </c>
      <c r="AK179" s="1"/>
      <c r="AL179" s="1" t="s">
        <v>79</v>
      </c>
      <c r="AM179" s="1" t="s">
        <v>65</v>
      </c>
      <c r="AN179" s="1" t="s">
        <v>1008</v>
      </c>
      <c r="AO179" s="2">
        <v>44000.0</v>
      </c>
      <c r="AP179" s="2">
        <v>44000.5850925926</v>
      </c>
      <c r="AQ179" s="1" t="s">
        <v>80</v>
      </c>
      <c r="AR179" s="1" t="s">
        <v>421</v>
      </c>
      <c r="AS179" s="1" t="s">
        <v>1009</v>
      </c>
      <c r="AT179" s="2">
        <v>44269.931099537</v>
      </c>
    </row>
    <row r="180" ht="13.5" customHeight="1">
      <c r="A180" s="1">
        <v>2038827.0</v>
      </c>
      <c r="B180" s="1" t="s">
        <v>67</v>
      </c>
      <c r="C180" s="1" t="s">
        <v>68</v>
      </c>
      <c r="D180" s="1" t="s">
        <v>46</v>
      </c>
      <c r="E180" s="1" t="s">
        <v>1010</v>
      </c>
      <c r="F180" s="1"/>
      <c r="G180" s="1" t="s">
        <v>70</v>
      </c>
      <c r="H180" s="1" t="s">
        <v>93</v>
      </c>
      <c r="I180" s="1">
        <v>40000.0</v>
      </c>
      <c r="J180" s="1"/>
      <c r="K180" s="1"/>
      <c r="L180" s="1" t="s">
        <v>800</v>
      </c>
      <c r="M180" s="1" t="s">
        <v>1011</v>
      </c>
      <c r="N180" s="1" t="s">
        <v>142</v>
      </c>
      <c r="O180" s="1" t="s">
        <v>143</v>
      </c>
      <c r="P180" s="2">
        <v>43816.625</v>
      </c>
      <c r="Q180" s="1" t="s">
        <v>373</v>
      </c>
      <c r="R180" s="3">
        <v>43816.0</v>
      </c>
      <c r="S180" s="1"/>
      <c r="T180" s="1">
        <v>1600501.0</v>
      </c>
      <c r="U180" s="1" t="s">
        <v>1005</v>
      </c>
      <c r="V180" s="1" t="s">
        <v>797</v>
      </c>
      <c r="W180" s="1" t="s">
        <v>177</v>
      </c>
      <c r="X180" s="1"/>
      <c r="Y180" s="1" t="str">
        <f>"02004000913202073"</f>
        <v>02004000913202073</v>
      </c>
      <c r="Z180" s="1" t="s">
        <v>147</v>
      </c>
      <c r="AA180" s="1" t="s">
        <v>1012</v>
      </c>
      <c r="AB180" s="1" t="str">
        <f>"***614302**"</f>
        <v>***614302**</v>
      </c>
      <c r="AC180" s="1"/>
      <c r="AD180" s="1"/>
      <c r="AE180" s="1"/>
      <c r="AF180" s="1">
        <v>-51.468609</v>
      </c>
      <c r="AG180" s="1">
        <v>2.761389</v>
      </c>
      <c r="AH180" s="1" t="s">
        <v>1013</v>
      </c>
      <c r="AI180" s="1"/>
      <c r="AJ180" s="1" t="s">
        <v>800</v>
      </c>
      <c r="AK180" s="1"/>
      <c r="AL180" s="1" t="s">
        <v>79</v>
      </c>
      <c r="AM180" s="1" t="s">
        <v>65</v>
      </c>
      <c r="AN180" s="1" t="s">
        <v>152</v>
      </c>
      <c r="AO180" s="2">
        <v>44047.0</v>
      </c>
      <c r="AP180" s="2">
        <v>44047.3415856482</v>
      </c>
      <c r="AQ180" s="1" t="s">
        <v>80</v>
      </c>
      <c r="AR180" s="1" t="s">
        <v>421</v>
      </c>
      <c r="AS180" s="1" t="s">
        <v>1014</v>
      </c>
      <c r="AT180" s="2">
        <v>44269.931099537</v>
      </c>
    </row>
    <row r="181" ht="13.5" customHeight="1">
      <c r="A181" s="1">
        <v>2040905.0</v>
      </c>
      <c r="B181" s="1" t="s">
        <v>67</v>
      </c>
      <c r="C181" s="1" t="s">
        <v>68</v>
      </c>
      <c r="D181" s="1" t="s">
        <v>46</v>
      </c>
      <c r="E181" s="1" t="s">
        <v>1015</v>
      </c>
      <c r="F181" s="1"/>
      <c r="G181" s="1" t="s">
        <v>70</v>
      </c>
      <c r="H181" s="1" t="s">
        <v>50</v>
      </c>
      <c r="I181" s="1">
        <v>1500.0</v>
      </c>
      <c r="J181" s="1"/>
      <c r="K181" s="1"/>
      <c r="L181" s="1" t="s">
        <v>64</v>
      </c>
      <c r="M181" s="1" t="s">
        <v>1016</v>
      </c>
      <c r="N181" s="1" t="s">
        <v>72</v>
      </c>
      <c r="O181" s="1" t="s">
        <v>73</v>
      </c>
      <c r="P181" s="2">
        <v>43816.625</v>
      </c>
      <c r="Q181" s="1" t="s">
        <v>74</v>
      </c>
      <c r="R181" s="3">
        <v>43852.0</v>
      </c>
      <c r="S181" s="1"/>
      <c r="T181" s="1">
        <v>3550308.0</v>
      </c>
      <c r="U181" s="1" t="s">
        <v>607</v>
      </c>
      <c r="V181" s="1" t="s">
        <v>58</v>
      </c>
      <c r="W181" s="1" t="s">
        <v>59</v>
      </c>
      <c r="X181" s="1"/>
      <c r="Y181" s="1" t="str">
        <f>"02027022693201937"</f>
        <v>02027022693201937</v>
      </c>
      <c r="Z181" s="1" t="s">
        <v>76</v>
      </c>
      <c r="AA181" s="1" t="s">
        <v>1017</v>
      </c>
      <c r="AB181" s="1" t="str">
        <f>"***092335**"</f>
        <v>***092335**</v>
      </c>
      <c r="AC181" s="1"/>
      <c r="AD181" s="1"/>
      <c r="AE181" s="1"/>
      <c r="AF181" s="1">
        <v>-46.668613</v>
      </c>
      <c r="AG181" s="1">
        <v>-23.559721</v>
      </c>
      <c r="AH181" s="1" t="s">
        <v>1018</v>
      </c>
      <c r="AI181" s="1"/>
      <c r="AJ181" s="1" t="s">
        <v>64</v>
      </c>
      <c r="AK181" s="1"/>
      <c r="AL181" s="1" t="s">
        <v>79</v>
      </c>
      <c r="AM181" s="1" t="s">
        <v>65</v>
      </c>
      <c r="AN181" s="1"/>
      <c r="AO181" s="2">
        <v>44144.0</v>
      </c>
      <c r="AP181" s="2">
        <v>44144.5004513889</v>
      </c>
      <c r="AQ181" s="1" t="s">
        <v>80</v>
      </c>
      <c r="AR181" s="1" t="s">
        <v>81</v>
      </c>
      <c r="AS181" s="1" t="s">
        <v>88</v>
      </c>
      <c r="AT181" s="2">
        <v>44269.931099537</v>
      </c>
    </row>
    <row r="182" ht="13.5" customHeight="1">
      <c r="A182" s="1"/>
      <c r="B182" s="1" t="s">
        <v>46</v>
      </c>
      <c r="C182" s="1" t="s">
        <v>47</v>
      </c>
      <c r="D182" s="1"/>
      <c r="E182" s="1" t="s">
        <v>1019</v>
      </c>
      <c r="F182" s="1"/>
      <c r="G182" s="1" t="s">
        <v>49</v>
      </c>
      <c r="H182" s="1" t="s">
        <v>93</v>
      </c>
      <c r="I182" s="1">
        <v>418000.0</v>
      </c>
      <c r="J182" s="1"/>
      <c r="K182" s="1"/>
      <c r="L182" s="1"/>
      <c r="M182" s="1" t="s">
        <v>1020</v>
      </c>
      <c r="N182" s="1" t="s">
        <v>95</v>
      </c>
      <c r="O182" s="1" t="s">
        <v>96</v>
      </c>
      <c r="P182" s="2">
        <v>43816.6180092593</v>
      </c>
      <c r="Q182" s="1" t="s">
        <v>74</v>
      </c>
      <c r="R182" s="1"/>
      <c r="S182" s="1"/>
      <c r="T182" s="1">
        <v>4208302.0</v>
      </c>
      <c r="U182" s="1" t="s">
        <v>972</v>
      </c>
      <c r="V182" s="1" t="s">
        <v>267</v>
      </c>
      <c r="W182" s="1" t="s">
        <v>59</v>
      </c>
      <c r="X182" s="1"/>
      <c r="Y182" s="1"/>
      <c r="Z182" s="1" t="s">
        <v>98</v>
      </c>
      <c r="AA182" s="1" t="s">
        <v>1021</v>
      </c>
      <c r="AB182" s="1" t="str">
        <f>"***332679**"</f>
        <v>***332679**</v>
      </c>
      <c r="AC182" s="1"/>
      <c r="AD182" s="1" t="s">
        <v>149</v>
      </c>
      <c r="AE182" s="1"/>
      <c r="AF182" s="1">
        <v>-48.641945</v>
      </c>
      <c r="AG182" s="1">
        <v>-27.081112</v>
      </c>
      <c r="AH182" s="1" t="s">
        <v>1022</v>
      </c>
      <c r="AI182" s="1"/>
      <c r="AJ182" s="1" t="s">
        <v>264</v>
      </c>
      <c r="AK182" s="1"/>
      <c r="AL182" s="1"/>
      <c r="AM182" s="1" t="s">
        <v>65</v>
      </c>
      <c r="AN182" s="1" t="s">
        <v>152</v>
      </c>
      <c r="AO182" s="1"/>
      <c r="AP182" s="2">
        <v>44027.8584837963</v>
      </c>
      <c r="AQ182" s="1"/>
      <c r="AR182" s="1" t="s">
        <v>1023</v>
      </c>
      <c r="AS182" s="1"/>
      <c r="AT182" s="2">
        <v>44269.931099537</v>
      </c>
    </row>
    <row r="183" ht="13.5" customHeight="1">
      <c r="A183" s="1"/>
      <c r="B183" s="1" t="s">
        <v>46</v>
      </c>
      <c r="C183" s="1" t="s">
        <v>47</v>
      </c>
      <c r="D183" s="1"/>
      <c r="E183" s="1" t="s">
        <v>1024</v>
      </c>
      <c r="F183" s="1"/>
      <c r="G183" s="1" t="s">
        <v>49</v>
      </c>
      <c r="H183" s="1" t="s">
        <v>50</v>
      </c>
      <c r="I183" s="1">
        <v>11500.0</v>
      </c>
      <c r="J183" s="1"/>
      <c r="K183" s="1" t="s">
        <v>140</v>
      </c>
      <c r="L183" s="1"/>
      <c r="M183" s="1" t="s">
        <v>1025</v>
      </c>
      <c r="N183" s="1" t="s">
        <v>123</v>
      </c>
      <c r="O183" s="1" t="s">
        <v>73</v>
      </c>
      <c r="P183" s="2">
        <v>43816.6063773148</v>
      </c>
      <c r="Q183" s="1" t="s">
        <v>74</v>
      </c>
      <c r="R183" s="3">
        <v>43826.0</v>
      </c>
      <c r="S183" s="1"/>
      <c r="T183" s="1">
        <v>1506807.0</v>
      </c>
      <c r="U183" s="1" t="s">
        <v>1026</v>
      </c>
      <c r="V183" s="1" t="s">
        <v>193</v>
      </c>
      <c r="W183" s="1" t="s">
        <v>177</v>
      </c>
      <c r="X183" s="1"/>
      <c r="Y183" s="1"/>
      <c r="Z183" s="1" t="s">
        <v>76</v>
      </c>
      <c r="AA183" s="1" t="s">
        <v>1027</v>
      </c>
      <c r="AB183" s="1" t="str">
        <f>"***848942**"</f>
        <v>***848942**</v>
      </c>
      <c r="AC183" s="1"/>
      <c r="AD183" s="1" t="s">
        <v>62</v>
      </c>
      <c r="AE183" s="1"/>
      <c r="AF183" s="1">
        <v>-54.699722</v>
      </c>
      <c r="AG183" s="1">
        <v>-2.478056</v>
      </c>
      <c r="AH183" s="1" t="s">
        <v>1028</v>
      </c>
      <c r="AI183" s="1"/>
      <c r="AJ183" s="1" t="s">
        <v>765</v>
      </c>
      <c r="AK183" s="1"/>
      <c r="AL183" s="1"/>
      <c r="AM183" s="1" t="s">
        <v>65</v>
      </c>
      <c r="AN183" s="1"/>
      <c r="AO183" s="1"/>
      <c r="AP183" s="2">
        <v>43816.6144907407</v>
      </c>
      <c r="AQ183" s="1"/>
      <c r="AR183" s="1" t="s">
        <v>1029</v>
      </c>
      <c r="AS183" s="1"/>
      <c r="AT183" s="2">
        <v>44269.931099537</v>
      </c>
    </row>
    <row r="184" ht="13.5" customHeight="1">
      <c r="A184" s="1"/>
      <c r="B184" s="1" t="s">
        <v>46</v>
      </c>
      <c r="C184" s="1" t="s">
        <v>47</v>
      </c>
      <c r="D184" s="1"/>
      <c r="E184" s="1" t="s">
        <v>1030</v>
      </c>
      <c r="F184" s="1"/>
      <c r="G184" s="1" t="s">
        <v>49</v>
      </c>
      <c r="H184" s="1" t="s">
        <v>50</v>
      </c>
      <c r="I184" s="1">
        <v>11500.0</v>
      </c>
      <c r="J184" s="1"/>
      <c r="K184" s="1" t="s">
        <v>140</v>
      </c>
      <c r="L184" s="1"/>
      <c r="M184" s="1" t="s">
        <v>1031</v>
      </c>
      <c r="N184" s="1" t="s">
        <v>123</v>
      </c>
      <c r="O184" s="1" t="s">
        <v>73</v>
      </c>
      <c r="P184" s="2">
        <v>43816.5904513889</v>
      </c>
      <c r="Q184" s="1" t="s">
        <v>74</v>
      </c>
      <c r="R184" s="1"/>
      <c r="S184" s="1"/>
      <c r="T184" s="1">
        <v>1506807.0</v>
      </c>
      <c r="U184" s="1" t="s">
        <v>1026</v>
      </c>
      <c r="V184" s="1" t="s">
        <v>193</v>
      </c>
      <c r="W184" s="1" t="s">
        <v>177</v>
      </c>
      <c r="X184" s="1"/>
      <c r="Y184" s="1"/>
      <c r="Z184" s="1" t="s">
        <v>76</v>
      </c>
      <c r="AA184" s="1" t="s">
        <v>1032</v>
      </c>
      <c r="AB184" s="1" t="str">
        <f>"***644022**"</f>
        <v>***644022**</v>
      </c>
      <c r="AC184" s="1"/>
      <c r="AD184" s="1" t="s">
        <v>62</v>
      </c>
      <c r="AE184" s="1"/>
      <c r="AF184" s="1">
        <v>-54.699722</v>
      </c>
      <c r="AG184" s="1">
        <v>-2.478056</v>
      </c>
      <c r="AH184" s="1" t="s">
        <v>1033</v>
      </c>
      <c r="AI184" s="1"/>
      <c r="AJ184" s="1" t="s">
        <v>765</v>
      </c>
      <c r="AK184" s="1"/>
      <c r="AL184" s="1"/>
      <c r="AM184" s="1" t="s">
        <v>65</v>
      </c>
      <c r="AN184" s="1"/>
      <c r="AO184" s="1"/>
      <c r="AP184" s="2">
        <v>43816.601412037</v>
      </c>
      <c r="AQ184" s="1"/>
      <c r="AR184" s="1" t="s">
        <v>1029</v>
      </c>
      <c r="AS184" s="1"/>
      <c r="AT184" s="2">
        <v>44269.931099537</v>
      </c>
    </row>
    <row r="185" ht="13.5" customHeight="1">
      <c r="A185" s="1"/>
      <c r="B185" s="1" t="s">
        <v>46</v>
      </c>
      <c r="C185" s="1" t="s">
        <v>47</v>
      </c>
      <c r="D185" s="1"/>
      <c r="E185" s="1" t="s">
        <v>1034</v>
      </c>
      <c r="F185" s="1"/>
      <c r="G185" s="1" t="s">
        <v>49</v>
      </c>
      <c r="H185" s="1" t="s">
        <v>50</v>
      </c>
      <c r="I185" s="1">
        <v>1980.0</v>
      </c>
      <c r="J185" s="1"/>
      <c r="K185" s="1" t="s">
        <v>51</v>
      </c>
      <c r="L185" s="1"/>
      <c r="M185" s="1" t="s">
        <v>1035</v>
      </c>
      <c r="N185" s="1" t="s">
        <v>53</v>
      </c>
      <c r="O185" s="1" t="s">
        <v>54</v>
      </c>
      <c r="P185" s="2">
        <v>43816.5872337963</v>
      </c>
      <c r="Q185" s="1" t="s">
        <v>373</v>
      </c>
      <c r="R185" s="1"/>
      <c r="S185" s="1"/>
      <c r="T185" s="1">
        <v>2602902.0</v>
      </c>
      <c r="U185" s="1" t="s">
        <v>1036</v>
      </c>
      <c r="V185" s="1" t="s">
        <v>1037</v>
      </c>
      <c r="W185" s="1" t="s">
        <v>288</v>
      </c>
      <c r="X185" s="1"/>
      <c r="Y185" s="1"/>
      <c r="Z185" s="1" t="s">
        <v>60</v>
      </c>
      <c r="AA185" s="1" t="s">
        <v>1038</v>
      </c>
      <c r="AB185" s="1" t="str">
        <f>"24395280000142"</f>
        <v>24395280000142</v>
      </c>
      <c r="AC185" s="1"/>
      <c r="AD185" s="1" t="s">
        <v>149</v>
      </c>
      <c r="AE185" s="1"/>
      <c r="AF185" s="1">
        <v>-35.046391</v>
      </c>
      <c r="AG185" s="1">
        <v>-8.447778</v>
      </c>
      <c r="AH185" s="1" t="s">
        <v>1039</v>
      </c>
      <c r="AI185" s="1"/>
      <c r="AJ185" s="1" t="s">
        <v>1040</v>
      </c>
      <c r="AK185" s="1"/>
      <c r="AL185" s="1"/>
      <c r="AM185" s="1" t="s">
        <v>65</v>
      </c>
      <c r="AN185" s="1" t="s">
        <v>1041</v>
      </c>
      <c r="AO185" s="1"/>
      <c r="AP185" s="2">
        <v>43816.8162615741</v>
      </c>
      <c r="AQ185" s="1"/>
      <c r="AR185" s="1" t="s">
        <v>1042</v>
      </c>
      <c r="AS185" s="1"/>
      <c r="AT185" s="2">
        <v>44269.931099537</v>
      </c>
    </row>
    <row r="186" ht="13.5" customHeight="1">
      <c r="A186" s="1"/>
      <c r="B186" s="1" t="s">
        <v>46</v>
      </c>
      <c r="C186" s="1" t="s">
        <v>47</v>
      </c>
      <c r="D186" s="1"/>
      <c r="E186" s="1" t="s">
        <v>1043</v>
      </c>
      <c r="F186" s="1"/>
      <c r="G186" s="1" t="s">
        <v>49</v>
      </c>
      <c r="H186" s="1" t="s">
        <v>93</v>
      </c>
      <c r="I186" s="1">
        <v>7730.31</v>
      </c>
      <c r="J186" s="1"/>
      <c r="K186" s="1"/>
      <c r="L186" s="1"/>
      <c r="M186" s="1" t="s">
        <v>1044</v>
      </c>
      <c r="N186" s="1" t="s">
        <v>142</v>
      </c>
      <c r="O186" s="1" t="s">
        <v>143</v>
      </c>
      <c r="P186" s="2">
        <v>43816.5869444445</v>
      </c>
      <c r="Q186" s="1" t="s">
        <v>74</v>
      </c>
      <c r="R186" s="1"/>
      <c r="S186" s="1"/>
      <c r="T186" s="1">
        <v>5218805.0</v>
      </c>
      <c r="U186" s="1" t="s">
        <v>374</v>
      </c>
      <c r="V186" s="1" t="s">
        <v>375</v>
      </c>
      <c r="W186" s="1" t="s">
        <v>177</v>
      </c>
      <c r="X186" s="1"/>
      <c r="Y186" s="1"/>
      <c r="Z186" s="1" t="s">
        <v>147</v>
      </c>
      <c r="AA186" s="1" t="s">
        <v>1045</v>
      </c>
      <c r="AB186" s="1" t="str">
        <f>"37453255000110"</f>
        <v>37453255000110</v>
      </c>
      <c r="AC186" s="1"/>
      <c r="AD186" s="1" t="s">
        <v>149</v>
      </c>
      <c r="AE186" s="1"/>
      <c r="AF186" s="1">
        <v>-50.962223</v>
      </c>
      <c r="AG186" s="1">
        <v>-17.824722</v>
      </c>
      <c r="AH186" s="1" t="s">
        <v>1046</v>
      </c>
      <c r="AI186" s="1"/>
      <c r="AJ186" s="1" t="s">
        <v>371</v>
      </c>
      <c r="AK186" s="1"/>
      <c r="AL186" s="1"/>
      <c r="AM186" s="1" t="s">
        <v>65</v>
      </c>
      <c r="AN186" s="1" t="s">
        <v>378</v>
      </c>
      <c r="AO186" s="1"/>
      <c r="AP186" s="2">
        <v>43816.5961342593</v>
      </c>
      <c r="AQ186" s="1"/>
      <c r="AR186" s="1" t="s">
        <v>613</v>
      </c>
      <c r="AS186" s="1"/>
      <c r="AT186" s="2">
        <v>44269.931099537</v>
      </c>
    </row>
    <row r="187" ht="13.5" customHeight="1">
      <c r="A187" s="1">
        <v>2038591.0</v>
      </c>
      <c r="B187" s="1" t="s">
        <v>67</v>
      </c>
      <c r="C187" s="1" t="s">
        <v>68</v>
      </c>
      <c r="D187" s="1" t="s">
        <v>46</v>
      </c>
      <c r="E187" s="1" t="s">
        <v>1047</v>
      </c>
      <c r="F187" s="1"/>
      <c r="G187" s="1" t="s">
        <v>70</v>
      </c>
      <c r="H187" s="1" t="s">
        <v>50</v>
      </c>
      <c r="I187" s="1">
        <v>9000.0</v>
      </c>
      <c r="J187" s="1"/>
      <c r="K187" s="1"/>
      <c r="L187" s="1" t="s">
        <v>172</v>
      </c>
      <c r="M187" s="1" t="s">
        <v>976</v>
      </c>
      <c r="N187" s="1" t="s">
        <v>283</v>
      </c>
      <c r="O187" s="1" t="s">
        <v>978</v>
      </c>
      <c r="P187" s="2">
        <v>43816.5833333333</v>
      </c>
      <c r="Q187" s="1" t="s">
        <v>74</v>
      </c>
      <c r="R187" s="1"/>
      <c r="S187" s="1"/>
      <c r="T187" s="1">
        <v>3505708.0</v>
      </c>
      <c r="U187" s="1" t="s">
        <v>1048</v>
      </c>
      <c r="V187" s="1" t="s">
        <v>58</v>
      </c>
      <c r="W187" s="1" t="s">
        <v>59</v>
      </c>
      <c r="X187" s="1"/>
      <c r="Y187" s="1" t="str">
        <f>"02001036541201918"</f>
        <v>02001036541201918</v>
      </c>
      <c r="Z187" s="1" t="s">
        <v>980</v>
      </c>
      <c r="AA187" s="1" t="s">
        <v>1049</v>
      </c>
      <c r="AB187" s="1" t="str">
        <f>"10578068000106"</f>
        <v>10578068000106</v>
      </c>
      <c r="AC187" s="1"/>
      <c r="AD187" s="1"/>
      <c r="AE187" s="1"/>
      <c r="AF187" s="1">
        <v>-46.924446</v>
      </c>
      <c r="AG187" s="1">
        <v>-23.589724</v>
      </c>
      <c r="AH187" s="1" t="s">
        <v>982</v>
      </c>
      <c r="AI187" s="1"/>
      <c r="AJ187" s="1" t="s">
        <v>172</v>
      </c>
      <c r="AK187" s="1"/>
      <c r="AL187" s="1" t="s">
        <v>79</v>
      </c>
      <c r="AM187" s="1" t="s">
        <v>65</v>
      </c>
      <c r="AN187" s="1" t="s">
        <v>983</v>
      </c>
      <c r="AO187" s="2">
        <v>44040.0</v>
      </c>
      <c r="AP187" s="2">
        <v>44040.5461342593</v>
      </c>
      <c r="AQ187" s="1" t="s">
        <v>80</v>
      </c>
      <c r="AR187" s="1" t="s">
        <v>1050</v>
      </c>
      <c r="AS187" s="1" t="s">
        <v>985</v>
      </c>
      <c r="AT187" s="2">
        <v>44269.931099537</v>
      </c>
    </row>
    <row r="188" ht="13.5" customHeight="1">
      <c r="A188" s="1">
        <v>2044278.0</v>
      </c>
      <c r="B188" s="1" t="s">
        <v>67</v>
      </c>
      <c r="C188" s="1" t="s">
        <v>68</v>
      </c>
      <c r="D188" s="1" t="s">
        <v>46</v>
      </c>
      <c r="E188" s="1" t="s">
        <v>1051</v>
      </c>
      <c r="F188" s="1"/>
      <c r="G188" s="1" t="s">
        <v>70</v>
      </c>
      <c r="H188" s="1" t="s">
        <v>50</v>
      </c>
      <c r="I188" s="1">
        <v>1500.0</v>
      </c>
      <c r="J188" s="1"/>
      <c r="K188" s="1"/>
      <c r="L188" s="1" t="s">
        <v>64</v>
      </c>
      <c r="M188" s="1" t="s">
        <v>1052</v>
      </c>
      <c r="N188" s="1" t="s">
        <v>72</v>
      </c>
      <c r="O188" s="1" t="s">
        <v>73</v>
      </c>
      <c r="P188" s="2">
        <v>43816.5833333333</v>
      </c>
      <c r="Q188" s="1" t="s">
        <v>373</v>
      </c>
      <c r="R188" s="3">
        <v>43816.0</v>
      </c>
      <c r="S188" s="1"/>
      <c r="T188" s="1">
        <v>3550308.0</v>
      </c>
      <c r="U188" s="1" t="s">
        <v>607</v>
      </c>
      <c r="V188" s="1" t="s">
        <v>58</v>
      </c>
      <c r="W188" s="1" t="s">
        <v>59</v>
      </c>
      <c r="X188" s="1"/>
      <c r="Y188" s="1" t="str">
        <f>"02027022691201948"</f>
        <v>02027022691201948</v>
      </c>
      <c r="Z188" s="1" t="s">
        <v>76</v>
      </c>
      <c r="AA188" s="1" t="s">
        <v>1053</v>
      </c>
      <c r="AB188" s="1" t="str">
        <f>"***101528**"</f>
        <v>***101528**</v>
      </c>
      <c r="AC188" s="1"/>
      <c r="AD188" s="1"/>
      <c r="AE188" s="1"/>
      <c r="AF188" s="1">
        <v>-46.668611</v>
      </c>
      <c r="AG188" s="1">
        <v>-23.559722</v>
      </c>
      <c r="AH188" s="1" t="s">
        <v>1054</v>
      </c>
      <c r="AI188" s="1"/>
      <c r="AJ188" s="1" t="s">
        <v>64</v>
      </c>
      <c r="AK188" s="1"/>
      <c r="AL188" s="1" t="s">
        <v>79</v>
      </c>
      <c r="AM188" s="1" t="s">
        <v>65</v>
      </c>
      <c r="AN188" s="1"/>
      <c r="AO188" s="2">
        <v>44266.0</v>
      </c>
      <c r="AP188" s="2">
        <v>44266.7625</v>
      </c>
      <c r="AQ188" s="1" t="s">
        <v>80</v>
      </c>
      <c r="AR188" s="1" t="s">
        <v>81</v>
      </c>
      <c r="AS188" s="1" t="s">
        <v>88</v>
      </c>
      <c r="AT188" s="2">
        <v>44269.931099537</v>
      </c>
    </row>
    <row r="189" ht="13.5" customHeight="1">
      <c r="A189" s="1">
        <v>2044305.0</v>
      </c>
      <c r="B189" s="1" t="s">
        <v>67</v>
      </c>
      <c r="C189" s="1" t="s">
        <v>68</v>
      </c>
      <c r="D189" s="1" t="s">
        <v>46</v>
      </c>
      <c r="E189" s="1" t="s">
        <v>1055</v>
      </c>
      <c r="F189" s="1"/>
      <c r="G189" s="1" t="s">
        <v>70</v>
      </c>
      <c r="H189" s="1" t="s">
        <v>50</v>
      </c>
      <c r="I189" s="1">
        <v>1500.0</v>
      </c>
      <c r="J189" s="1"/>
      <c r="K189" s="1"/>
      <c r="L189" s="1" t="s">
        <v>64</v>
      </c>
      <c r="M189" s="1" t="s">
        <v>1056</v>
      </c>
      <c r="N189" s="1" t="s">
        <v>283</v>
      </c>
      <c r="O189" s="1" t="s">
        <v>978</v>
      </c>
      <c r="P189" s="2">
        <v>43816.5833333333</v>
      </c>
      <c r="Q189" s="1" t="s">
        <v>373</v>
      </c>
      <c r="R189" s="3">
        <v>43816.0</v>
      </c>
      <c r="S189" s="1"/>
      <c r="T189" s="1">
        <v>3550308.0</v>
      </c>
      <c r="U189" s="1" t="s">
        <v>607</v>
      </c>
      <c r="V189" s="1" t="s">
        <v>58</v>
      </c>
      <c r="W189" s="1" t="s">
        <v>59</v>
      </c>
      <c r="X189" s="1"/>
      <c r="Y189" s="1" t="str">
        <f>"02027022692201992"</f>
        <v>02027022692201992</v>
      </c>
      <c r="Z189" s="1" t="s">
        <v>980</v>
      </c>
      <c r="AA189" s="1" t="s">
        <v>1057</v>
      </c>
      <c r="AB189" s="1" t="str">
        <f>"***481468**"</f>
        <v>***481468**</v>
      </c>
      <c r="AC189" s="1"/>
      <c r="AD189" s="1"/>
      <c r="AE189" s="1"/>
      <c r="AF189" s="1">
        <v>-46.668611</v>
      </c>
      <c r="AG189" s="1">
        <v>-23.559722</v>
      </c>
      <c r="AH189" s="1" t="s">
        <v>1058</v>
      </c>
      <c r="AI189" s="1"/>
      <c r="AJ189" s="1" t="s">
        <v>64</v>
      </c>
      <c r="AK189" s="1"/>
      <c r="AL189" s="1" t="s">
        <v>79</v>
      </c>
      <c r="AM189" s="1" t="s">
        <v>65</v>
      </c>
      <c r="AN189" s="1"/>
      <c r="AO189" s="2">
        <v>44267.0</v>
      </c>
      <c r="AP189" s="2">
        <v>44267.7043518519</v>
      </c>
      <c r="AQ189" s="1" t="s">
        <v>80</v>
      </c>
      <c r="AR189" s="1" t="s">
        <v>81</v>
      </c>
      <c r="AS189" s="1" t="s">
        <v>88</v>
      </c>
      <c r="AT189" s="2">
        <v>44269.931099537</v>
      </c>
    </row>
    <row r="190" ht="13.5" customHeight="1">
      <c r="A190" s="1"/>
      <c r="B190" s="1" t="s">
        <v>46</v>
      </c>
      <c r="C190" s="1" t="s">
        <v>47</v>
      </c>
      <c r="D190" s="1"/>
      <c r="E190" s="1" t="s">
        <v>1059</v>
      </c>
      <c r="F190" s="1"/>
      <c r="G190" s="1" t="s">
        <v>49</v>
      </c>
      <c r="H190" s="1" t="s">
        <v>93</v>
      </c>
      <c r="I190" s="1">
        <v>418000.0</v>
      </c>
      <c r="J190" s="1"/>
      <c r="K190" s="1"/>
      <c r="L190" s="1"/>
      <c r="M190" s="1" t="s">
        <v>971</v>
      </c>
      <c r="N190" s="1" t="s">
        <v>95</v>
      </c>
      <c r="O190" s="1" t="s">
        <v>96</v>
      </c>
      <c r="P190" s="2">
        <v>43816.5364236111</v>
      </c>
      <c r="Q190" s="1" t="s">
        <v>74</v>
      </c>
      <c r="R190" s="1"/>
      <c r="S190" s="1"/>
      <c r="T190" s="1">
        <v>4208302.0</v>
      </c>
      <c r="U190" s="1" t="s">
        <v>972</v>
      </c>
      <c r="V190" s="1" t="s">
        <v>267</v>
      </c>
      <c r="W190" s="1" t="s">
        <v>59</v>
      </c>
      <c r="X190" s="1"/>
      <c r="Y190" s="1"/>
      <c r="Z190" s="1" t="s">
        <v>98</v>
      </c>
      <c r="AA190" s="1" t="s">
        <v>1021</v>
      </c>
      <c r="AB190" s="1" t="str">
        <f>"***332679**"</f>
        <v>***332679**</v>
      </c>
      <c r="AC190" s="1"/>
      <c r="AD190" s="1" t="s">
        <v>149</v>
      </c>
      <c r="AE190" s="1"/>
      <c r="AF190" s="1">
        <v>-48.641945</v>
      </c>
      <c r="AG190" s="1">
        <v>-27.081112</v>
      </c>
      <c r="AH190" s="1" t="s">
        <v>1060</v>
      </c>
      <c r="AI190" s="1"/>
      <c r="AJ190" s="1" t="s">
        <v>264</v>
      </c>
      <c r="AK190" s="1"/>
      <c r="AL190" s="1"/>
      <c r="AM190" s="1" t="s">
        <v>65</v>
      </c>
      <c r="AN190" s="1" t="s">
        <v>152</v>
      </c>
      <c r="AO190" s="1"/>
      <c r="AP190" s="2">
        <v>44027.8586689815</v>
      </c>
      <c r="AQ190" s="1"/>
      <c r="AR190" s="1" t="s">
        <v>1023</v>
      </c>
      <c r="AS190" s="1"/>
      <c r="AT190" s="2">
        <v>44269.931099537</v>
      </c>
    </row>
    <row r="191" ht="13.5" customHeight="1">
      <c r="A191" s="1"/>
      <c r="B191" s="1" t="s">
        <v>46</v>
      </c>
      <c r="C191" s="1" t="s">
        <v>47</v>
      </c>
      <c r="D191" s="1"/>
      <c r="E191" s="1" t="s">
        <v>1061</v>
      </c>
      <c r="F191" s="1"/>
      <c r="G191" s="1" t="s">
        <v>49</v>
      </c>
      <c r="H191" s="1" t="s">
        <v>50</v>
      </c>
      <c r="I191" s="1">
        <v>6000.0</v>
      </c>
      <c r="J191" s="1"/>
      <c r="K191" s="1" t="s">
        <v>51</v>
      </c>
      <c r="L191" s="1"/>
      <c r="M191" s="1" t="s">
        <v>1062</v>
      </c>
      <c r="N191" s="1" t="s">
        <v>108</v>
      </c>
      <c r="O191" s="1" t="s">
        <v>109</v>
      </c>
      <c r="P191" s="2">
        <v>43816.5125462963</v>
      </c>
      <c r="Q191" s="1" t="s">
        <v>74</v>
      </c>
      <c r="R191" s="3">
        <v>43816.0</v>
      </c>
      <c r="S191" s="1"/>
      <c r="T191" s="1">
        <v>4308003.0</v>
      </c>
      <c r="U191" s="1" t="s">
        <v>1063</v>
      </c>
      <c r="V191" s="1" t="s">
        <v>145</v>
      </c>
      <c r="W191" s="1" t="s">
        <v>59</v>
      </c>
      <c r="X191" s="1"/>
      <c r="Y191" s="1"/>
      <c r="Z191" s="1" t="s">
        <v>226</v>
      </c>
      <c r="AA191" s="1" t="s">
        <v>1064</v>
      </c>
      <c r="AB191" s="1" t="str">
        <f>"91509026000115"</f>
        <v>91509026000115</v>
      </c>
      <c r="AC191" s="1"/>
      <c r="AD191" s="1" t="s">
        <v>62</v>
      </c>
      <c r="AE191" s="1"/>
      <c r="AF191" s="1">
        <v>-53.586945</v>
      </c>
      <c r="AG191" s="1">
        <v>-29.670557</v>
      </c>
      <c r="AH191" s="1" t="s">
        <v>1065</v>
      </c>
      <c r="AI191" s="1"/>
      <c r="AJ191" s="1" t="s">
        <v>151</v>
      </c>
      <c r="AK191" s="1"/>
      <c r="AL191" s="1"/>
      <c r="AM191" s="1" t="s">
        <v>65</v>
      </c>
      <c r="AN191" s="1"/>
      <c r="AO191" s="1"/>
      <c r="AP191" s="2">
        <v>43816.53125</v>
      </c>
      <c r="AQ191" s="1"/>
      <c r="AR191" s="1" t="s">
        <v>153</v>
      </c>
      <c r="AS191" s="1" t="s">
        <v>1066</v>
      </c>
      <c r="AT191" s="2">
        <v>44269.931099537</v>
      </c>
    </row>
    <row r="192" ht="13.5" customHeight="1">
      <c r="A192" s="1">
        <v>2034669.0</v>
      </c>
      <c r="B192" s="1" t="s">
        <v>67</v>
      </c>
      <c r="C192" s="1" t="s">
        <v>68</v>
      </c>
      <c r="D192" s="1" t="s">
        <v>46</v>
      </c>
      <c r="E192" s="1" t="s">
        <v>1067</v>
      </c>
      <c r="F192" s="1"/>
      <c r="G192" s="1" t="s">
        <v>70</v>
      </c>
      <c r="H192" s="1" t="s">
        <v>50</v>
      </c>
      <c r="I192" s="1">
        <v>1000.0</v>
      </c>
      <c r="J192" s="1"/>
      <c r="K192" s="1"/>
      <c r="L192" s="1" t="s">
        <v>264</v>
      </c>
      <c r="M192" s="1" t="s">
        <v>1068</v>
      </c>
      <c r="N192" s="1" t="s">
        <v>72</v>
      </c>
      <c r="O192" s="1" t="s">
        <v>73</v>
      </c>
      <c r="P192" s="2">
        <v>43816.5</v>
      </c>
      <c r="Q192" s="1" t="s">
        <v>74</v>
      </c>
      <c r="R192" s="3">
        <v>43815.0</v>
      </c>
      <c r="S192" s="1"/>
      <c r="T192" s="1">
        <v>4205407.0</v>
      </c>
      <c r="U192" s="1" t="s">
        <v>1069</v>
      </c>
      <c r="V192" s="1" t="s">
        <v>267</v>
      </c>
      <c r="W192" s="1" t="s">
        <v>288</v>
      </c>
      <c r="X192" s="1"/>
      <c r="Y192" s="1" t="str">
        <f>"02026004109201971"</f>
        <v>02026004109201971</v>
      </c>
      <c r="Z192" s="1" t="s">
        <v>76</v>
      </c>
      <c r="AA192" s="1" t="s">
        <v>1070</v>
      </c>
      <c r="AB192" s="1" t="str">
        <f>"***392429**"</f>
        <v>***392429**</v>
      </c>
      <c r="AC192" s="1"/>
      <c r="AD192" s="1"/>
      <c r="AE192" s="1"/>
      <c r="AF192" s="1">
        <v>-48.556667</v>
      </c>
      <c r="AG192" s="1">
        <v>-27.594168</v>
      </c>
      <c r="AH192" s="1" t="s">
        <v>1071</v>
      </c>
      <c r="AI192" s="1"/>
      <c r="AJ192" s="1" t="s">
        <v>264</v>
      </c>
      <c r="AK192" s="1"/>
      <c r="AL192" s="1" t="s">
        <v>79</v>
      </c>
      <c r="AM192" s="1" t="s">
        <v>65</v>
      </c>
      <c r="AN192" s="1" t="s">
        <v>152</v>
      </c>
      <c r="AO192" s="2">
        <v>43889.0</v>
      </c>
      <c r="AP192" s="2">
        <v>43889.5251273148</v>
      </c>
      <c r="AQ192" s="1" t="s">
        <v>80</v>
      </c>
      <c r="AR192" s="1" t="s">
        <v>1072</v>
      </c>
      <c r="AS192" s="1" t="s">
        <v>1073</v>
      </c>
      <c r="AT192" s="2">
        <v>44269.931099537</v>
      </c>
    </row>
    <row r="193" ht="13.5" customHeight="1">
      <c r="A193" s="1">
        <v>2038746.0</v>
      </c>
      <c r="B193" s="1" t="s">
        <v>67</v>
      </c>
      <c r="C193" s="1" t="s">
        <v>68</v>
      </c>
      <c r="D193" s="1" t="s">
        <v>46</v>
      </c>
      <c r="E193" s="1" t="s">
        <v>1074</v>
      </c>
      <c r="F193" s="1"/>
      <c r="G193" s="1" t="s">
        <v>70</v>
      </c>
      <c r="H193" s="1" t="s">
        <v>93</v>
      </c>
      <c r="I193" s="1">
        <v>6000.0</v>
      </c>
      <c r="J193" s="1"/>
      <c r="K193" s="1"/>
      <c r="L193" s="1" t="s">
        <v>167</v>
      </c>
      <c r="M193" s="1" t="s">
        <v>1075</v>
      </c>
      <c r="N193" s="1" t="s">
        <v>72</v>
      </c>
      <c r="O193" s="1" t="s">
        <v>213</v>
      </c>
      <c r="P193" s="2">
        <v>43816.5</v>
      </c>
      <c r="Q193" s="1" t="s">
        <v>373</v>
      </c>
      <c r="R193" s="3">
        <v>43816.0</v>
      </c>
      <c r="S193" s="1"/>
      <c r="T193" s="1">
        <v>5106109.0</v>
      </c>
      <c r="U193" s="1" t="s">
        <v>214</v>
      </c>
      <c r="V193" s="1" t="s">
        <v>164</v>
      </c>
      <c r="W193" s="1" t="s">
        <v>127</v>
      </c>
      <c r="X193" s="1"/>
      <c r="Y193" s="1" t="str">
        <f>"02013002061202040"</f>
        <v>02013002061202040</v>
      </c>
      <c r="Z193" s="1" t="s">
        <v>215</v>
      </c>
      <c r="AA193" s="1" t="s">
        <v>1076</v>
      </c>
      <c r="AB193" s="1" t="str">
        <f>"***126061**"</f>
        <v>***126061**</v>
      </c>
      <c r="AC193" s="1"/>
      <c r="AD193" s="1"/>
      <c r="AE193" s="1"/>
      <c r="AF193" s="1">
        <v>-56.417778</v>
      </c>
      <c r="AG193" s="1">
        <v>-15.970555</v>
      </c>
      <c r="AH193" s="1" t="s">
        <v>1077</v>
      </c>
      <c r="AI193" s="1"/>
      <c r="AJ193" s="1" t="s">
        <v>167</v>
      </c>
      <c r="AK193" s="1"/>
      <c r="AL193" s="1" t="s">
        <v>79</v>
      </c>
      <c r="AM193" s="1" t="s">
        <v>65</v>
      </c>
      <c r="AN193" s="1" t="s">
        <v>168</v>
      </c>
      <c r="AO193" s="2">
        <v>44046.0</v>
      </c>
      <c r="AP193" s="2">
        <v>44046.5033564815</v>
      </c>
      <c r="AQ193" s="1" t="s">
        <v>80</v>
      </c>
      <c r="AR193" s="1" t="s">
        <v>1078</v>
      </c>
      <c r="AS193" s="1"/>
      <c r="AT193" s="2">
        <v>44269.931099537</v>
      </c>
    </row>
    <row r="194" ht="13.5" customHeight="1">
      <c r="A194" s="1">
        <v>2044279.0</v>
      </c>
      <c r="B194" s="1" t="s">
        <v>67</v>
      </c>
      <c r="C194" s="1" t="s">
        <v>68</v>
      </c>
      <c r="D194" s="1" t="s">
        <v>46</v>
      </c>
      <c r="E194" s="1" t="s">
        <v>1079</v>
      </c>
      <c r="F194" s="1"/>
      <c r="G194" s="1" t="s">
        <v>70</v>
      </c>
      <c r="H194" s="1" t="s">
        <v>50</v>
      </c>
      <c r="I194" s="1">
        <v>1500.0</v>
      </c>
      <c r="J194" s="1"/>
      <c r="K194" s="1"/>
      <c r="L194" s="1" t="s">
        <v>64</v>
      </c>
      <c r="M194" s="1" t="s">
        <v>1080</v>
      </c>
      <c r="N194" s="1" t="s">
        <v>72</v>
      </c>
      <c r="O194" s="1" t="s">
        <v>73</v>
      </c>
      <c r="P194" s="2">
        <v>43816.5</v>
      </c>
      <c r="Q194" s="1" t="s">
        <v>74</v>
      </c>
      <c r="R194" s="3">
        <v>43816.0</v>
      </c>
      <c r="S194" s="1"/>
      <c r="T194" s="1">
        <v>3550308.0</v>
      </c>
      <c r="U194" s="1" t="s">
        <v>607</v>
      </c>
      <c r="V194" s="1" t="s">
        <v>58</v>
      </c>
      <c r="W194" s="1" t="s">
        <v>59</v>
      </c>
      <c r="X194" s="1"/>
      <c r="Y194" s="1" t="str">
        <f>"02027022690201901"</f>
        <v>02027022690201901</v>
      </c>
      <c r="Z194" s="1" t="s">
        <v>76</v>
      </c>
      <c r="AA194" s="1" t="s">
        <v>1081</v>
      </c>
      <c r="AB194" s="1" t="str">
        <f>"***298218**"</f>
        <v>***298218**</v>
      </c>
      <c r="AC194" s="1"/>
      <c r="AD194" s="1"/>
      <c r="AE194" s="1"/>
      <c r="AF194" s="1">
        <v>-46.668611</v>
      </c>
      <c r="AG194" s="1">
        <v>-23.559722</v>
      </c>
      <c r="AH194" s="1" t="s">
        <v>1082</v>
      </c>
      <c r="AI194" s="1"/>
      <c r="AJ194" s="1" t="s">
        <v>64</v>
      </c>
      <c r="AK194" s="1"/>
      <c r="AL194" s="1" t="s">
        <v>79</v>
      </c>
      <c r="AM194" s="1" t="s">
        <v>65</v>
      </c>
      <c r="AN194" s="1"/>
      <c r="AO194" s="2">
        <v>44266.0</v>
      </c>
      <c r="AP194" s="2">
        <v>44266.7655208333</v>
      </c>
      <c r="AQ194" s="1" t="s">
        <v>80</v>
      </c>
      <c r="AR194" s="1" t="s">
        <v>81</v>
      </c>
      <c r="AS194" s="1" t="s">
        <v>1083</v>
      </c>
      <c r="AT194" s="2">
        <v>44269.931099537</v>
      </c>
    </row>
    <row r="195" ht="13.5" customHeight="1">
      <c r="A195" s="1"/>
      <c r="B195" s="1" t="s">
        <v>46</v>
      </c>
      <c r="C195" s="1" t="s">
        <v>47</v>
      </c>
      <c r="D195" s="1"/>
      <c r="E195" s="1" t="s">
        <v>1084</v>
      </c>
      <c r="F195" s="1"/>
      <c r="G195" s="1" t="s">
        <v>49</v>
      </c>
      <c r="H195" s="1" t="s">
        <v>50</v>
      </c>
      <c r="I195" s="1">
        <v>11500.0</v>
      </c>
      <c r="J195" s="1"/>
      <c r="K195" s="1" t="s">
        <v>140</v>
      </c>
      <c r="L195" s="1"/>
      <c r="M195" s="1" t="s">
        <v>1085</v>
      </c>
      <c r="N195" s="1" t="s">
        <v>123</v>
      </c>
      <c r="O195" s="1" t="s">
        <v>73</v>
      </c>
      <c r="P195" s="2">
        <v>43816.4828009259</v>
      </c>
      <c r="Q195" s="1" t="s">
        <v>74</v>
      </c>
      <c r="R195" s="1"/>
      <c r="S195" s="1"/>
      <c r="T195" s="1">
        <v>1506807.0</v>
      </c>
      <c r="U195" s="1" t="s">
        <v>1026</v>
      </c>
      <c r="V195" s="1" t="s">
        <v>193</v>
      </c>
      <c r="W195" s="1" t="s">
        <v>177</v>
      </c>
      <c r="X195" s="1"/>
      <c r="Y195" s="1"/>
      <c r="Z195" s="1" t="s">
        <v>76</v>
      </c>
      <c r="AA195" s="1" t="s">
        <v>1086</v>
      </c>
      <c r="AB195" s="1" t="str">
        <f>"***636302**"</f>
        <v>***636302**</v>
      </c>
      <c r="AC195" s="1"/>
      <c r="AD195" s="1" t="s">
        <v>62</v>
      </c>
      <c r="AE195" s="1"/>
      <c r="AF195" s="1">
        <v>-54.699722</v>
      </c>
      <c r="AG195" s="1">
        <v>-2.478056</v>
      </c>
      <c r="AH195" s="1" t="s">
        <v>1033</v>
      </c>
      <c r="AI195" s="1"/>
      <c r="AJ195" s="1" t="s">
        <v>765</v>
      </c>
      <c r="AK195" s="1"/>
      <c r="AL195" s="1"/>
      <c r="AM195" s="1" t="s">
        <v>65</v>
      </c>
      <c r="AN195" s="1"/>
      <c r="AO195" s="1"/>
      <c r="AP195" s="2">
        <v>43816.4986342593</v>
      </c>
      <c r="AQ195" s="1"/>
      <c r="AR195" s="1" t="s">
        <v>1029</v>
      </c>
      <c r="AS195" s="1"/>
      <c r="AT195" s="2">
        <v>44269.931099537</v>
      </c>
    </row>
    <row r="196" ht="13.5" customHeight="1">
      <c r="A196" s="1">
        <v>2037539.0</v>
      </c>
      <c r="B196" s="1" t="s">
        <v>67</v>
      </c>
      <c r="C196" s="1" t="s">
        <v>68</v>
      </c>
      <c r="D196" s="1" t="s">
        <v>46</v>
      </c>
      <c r="E196" s="1" t="s">
        <v>1087</v>
      </c>
      <c r="F196" s="1"/>
      <c r="G196" s="1" t="s">
        <v>70</v>
      </c>
      <c r="H196" s="1" t="s">
        <v>93</v>
      </c>
      <c r="I196" s="1">
        <v>45000.0</v>
      </c>
      <c r="J196" s="1"/>
      <c r="K196" s="1"/>
      <c r="L196" s="1" t="s">
        <v>800</v>
      </c>
      <c r="M196" s="1" t="s">
        <v>1088</v>
      </c>
      <c r="N196" s="1" t="s">
        <v>142</v>
      </c>
      <c r="O196" s="1" t="s">
        <v>143</v>
      </c>
      <c r="P196" s="2">
        <v>43816.4583333333</v>
      </c>
      <c r="Q196" s="1" t="s">
        <v>373</v>
      </c>
      <c r="R196" s="3">
        <v>43816.0</v>
      </c>
      <c r="S196" s="1"/>
      <c r="T196" s="1">
        <v>1600501.0</v>
      </c>
      <c r="U196" s="1" t="s">
        <v>1005</v>
      </c>
      <c r="V196" s="1" t="s">
        <v>797</v>
      </c>
      <c r="W196" s="1" t="s">
        <v>177</v>
      </c>
      <c r="X196" s="1"/>
      <c r="Y196" s="1" t="str">
        <f>"02004000727202034"</f>
        <v>02004000727202034</v>
      </c>
      <c r="Z196" s="1" t="s">
        <v>147</v>
      </c>
      <c r="AA196" s="1" t="s">
        <v>1089</v>
      </c>
      <c r="AB196" s="1" t="str">
        <f>"***042602**"</f>
        <v>***042602**</v>
      </c>
      <c r="AC196" s="1"/>
      <c r="AD196" s="1"/>
      <c r="AE196" s="1"/>
      <c r="AF196" s="1">
        <v>-51.322498</v>
      </c>
      <c r="AG196" s="1">
        <v>2.698334</v>
      </c>
      <c r="AH196" s="1" t="s">
        <v>1090</v>
      </c>
      <c r="AI196" s="1"/>
      <c r="AJ196" s="1" t="s">
        <v>800</v>
      </c>
      <c r="AK196" s="1"/>
      <c r="AL196" s="1" t="s">
        <v>79</v>
      </c>
      <c r="AM196" s="1" t="s">
        <v>65</v>
      </c>
      <c r="AN196" s="1" t="s">
        <v>1008</v>
      </c>
      <c r="AO196" s="2">
        <v>44000.0</v>
      </c>
      <c r="AP196" s="2">
        <v>44000.5897916667</v>
      </c>
      <c r="AQ196" s="1" t="s">
        <v>80</v>
      </c>
      <c r="AR196" s="1" t="s">
        <v>421</v>
      </c>
      <c r="AS196" s="1" t="s">
        <v>1091</v>
      </c>
      <c r="AT196" s="2">
        <v>44269.931099537</v>
      </c>
    </row>
    <row r="197" ht="13.5" customHeight="1">
      <c r="A197" s="1"/>
      <c r="B197" s="1" t="s">
        <v>46</v>
      </c>
      <c r="C197" s="1" t="s">
        <v>47</v>
      </c>
      <c r="D197" s="1"/>
      <c r="E197" s="1" t="s">
        <v>1092</v>
      </c>
      <c r="F197" s="1"/>
      <c r="G197" s="1" t="s">
        <v>49</v>
      </c>
      <c r="H197" s="1" t="s">
        <v>93</v>
      </c>
      <c r="I197" s="1">
        <v>4300.0</v>
      </c>
      <c r="J197" s="1"/>
      <c r="K197" s="1" t="s">
        <v>51</v>
      </c>
      <c r="L197" s="1"/>
      <c r="M197" s="1" t="s">
        <v>1093</v>
      </c>
      <c r="N197" s="1" t="s">
        <v>53</v>
      </c>
      <c r="O197" s="1" t="s">
        <v>54</v>
      </c>
      <c r="P197" s="2">
        <v>43816.4103472222</v>
      </c>
      <c r="Q197" s="1" t="s">
        <v>373</v>
      </c>
      <c r="R197" s="1"/>
      <c r="S197" s="1"/>
      <c r="T197" s="1">
        <v>1505106.0</v>
      </c>
      <c r="U197" s="1" t="s">
        <v>762</v>
      </c>
      <c r="V197" s="1" t="s">
        <v>193</v>
      </c>
      <c r="W197" s="1" t="s">
        <v>177</v>
      </c>
      <c r="X197" s="1"/>
      <c r="Y197" s="1"/>
      <c r="Z197" s="1" t="s">
        <v>60</v>
      </c>
      <c r="AA197" s="1" t="s">
        <v>1094</v>
      </c>
      <c r="AB197" s="1" t="str">
        <f>"***040332**"</f>
        <v>***040332**</v>
      </c>
      <c r="AC197" s="1"/>
      <c r="AD197" s="1" t="s">
        <v>149</v>
      </c>
      <c r="AE197" s="1"/>
      <c r="AF197" s="1">
        <v>-55.513332</v>
      </c>
      <c r="AG197" s="1">
        <v>-1.919167</v>
      </c>
      <c r="AH197" s="1" t="s">
        <v>1095</v>
      </c>
      <c r="AI197" s="1"/>
      <c r="AJ197" s="1" t="s">
        <v>765</v>
      </c>
      <c r="AK197" s="1"/>
      <c r="AL197" s="1"/>
      <c r="AM197" s="1" t="s">
        <v>65</v>
      </c>
      <c r="AN197" s="1" t="s">
        <v>766</v>
      </c>
      <c r="AO197" s="1"/>
      <c r="AP197" s="2">
        <v>43816.4274768518</v>
      </c>
      <c r="AQ197" s="1"/>
      <c r="AR197" s="1" t="s">
        <v>1096</v>
      </c>
      <c r="AS197" s="1"/>
      <c r="AT197" s="2">
        <v>44269.931099537</v>
      </c>
    </row>
    <row r="198" ht="13.5" customHeight="1">
      <c r="A198" s="1">
        <v>2035083.0</v>
      </c>
      <c r="B198" s="1" t="s">
        <v>67</v>
      </c>
      <c r="C198" s="1" t="s">
        <v>68</v>
      </c>
      <c r="D198" s="1" t="s">
        <v>46</v>
      </c>
      <c r="E198" s="1" t="s">
        <v>1097</v>
      </c>
      <c r="F198" s="1"/>
      <c r="G198" s="1" t="s">
        <v>70</v>
      </c>
      <c r="H198" s="1" t="s">
        <v>50</v>
      </c>
      <c r="I198" s="1">
        <v>2780.0</v>
      </c>
      <c r="J198" s="1"/>
      <c r="K198" s="1"/>
      <c r="L198" s="1" t="s">
        <v>765</v>
      </c>
      <c r="M198" s="1" t="s">
        <v>1098</v>
      </c>
      <c r="N198" s="1" t="s">
        <v>53</v>
      </c>
      <c r="O198" s="1" t="s">
        <v>54</v>
      </c>
      <c r="P198" s="2">
        <v>43816.375</v>
      </c>
      <c r="Q198" s="1" t="s">
        <v>373</v>
      </c>
      <c r="R198" s="3">
        <v>43816.0</v>
      </c>
      <c r="S198" s="1"/>
      <c r="T198" s="1">
        <v>1505304.0</v>
      </c>
      <c r="U198" s="1" t="s">
        <v>1099</v>
      </c>
      <c r="V198" s="1" t="s">
        <v>193</v>
      </c>
      <c r="W198" s="1" t="s">
        <v>177</v>
      </c>
      <c r="X198" s="1"/>
      <c r="Y198" s="1"/>
      <c r="Z198" s="1" t="s">
        <v>60</v>
      </c>
      <c r="AA198" s="1" t="s">
        <v>1100</v>
      </c>
      <c r="AB198" s="1" t="str">
        <f>"***468342**"</f>
        <v>***468342**</v>
      </c>
      <c r="AC198" s="1"/>
      <c r="AD198" s="1"/>
      <c r="AE198" s="1"/>
      <c r="AF198" s="1">
        <v>-56.189167</v>
      </c>
      <c r="AG198" s="1">
        <v>-1.894444</v>
      </c>
      <c r="AH198" s="1" t="s">
        <v>1101</v>
      </c>
      <c r="AI198" s="1"/>
      <c r="AJ198" s="1" t="s">
        <v>765</v>
      </c>
      <c r="AK198" s="1"/>
      <c r="AL198" s="1" t="s">
        <v>79</v>
      </c>
      <c r="AM198" s="1" t="s">
        <v>65</v>
      </c>
      <c r="AN198" s="1" t="s">
        <v>766</v>
      </c>
      <c r="AO198" s="2">
        <v>43894.0</v>
      </c>
      <c r="AP198" s="2">
        <v>43894.6164699074</v>
      </c>
      <c r="AQ198" s="1" t="s">
        <v>80</v>
      </c>
      <c r="AR198" s="1" t="s">
        <v>809</v>
      </c>
      <c r="AS198" s="1"/>
      <c r="AT198" s="2">
        <v>44269.931099537</v>
      </c>
    </row>
    <row r="199" ht="13.5" customHeight="1">
      <c r="A199" s="1">
        <v>2037541.0</v>
      </c>
      <c r="B199" s="1" t="s">
        <v>67</v>
      </c>
      <c r="C199" s="1" t="s">
        <v>68</v>
      </c>
      <c r="D199" s="1" t="s">
        <v>46</v>
      </c>
      <c r="E199" s="1" t="s">
        <v>1102</v>
      </c>
      <c r="F199" s="1"/>
      <c r="G199" s="1" t="s">
        <v>70</v>
      </c>
      <c r="H199" s="1" t="s">
        <v>93</v>
      </c>
      <c r="I199" s="1">
        <v>50000.0</v>
      </c>
      <c r="J199" s="1"/>
      <c r="K199" s="1"/>
      <c r="L199" s="1" t="s">
        <v>800</v>
      </c>
      <c r="M199" s="1" t="s">
        <v>1103</v>
      </c>
      <c r="N199" s="1" t="s">
        <v>142</v>
      </c>
      <c r="O199" s="1" t="s">
        <v>143</v>
      </c>
      <c r="P199" s="2">
        <v>43816.3333333333</v>
      </c>
      <c r="Q199" s="1" t="s">
        <v>373</v>
      </c>
      <c r="R199" s="3">
        <v>43816.0</v>
      </c>
      <c r="S199" s="1"/>
      <c r="T199" s="1">
        <v>1600501.0</v>
      </c>
      <c r="U199" s="1" t="s">
        <v>1005</v>
      </c>
      <c r="V199" s="1" t="s">
        <v>797</v>
      </c>
      <c r="W199" s="1" t="s">
        <v>177</v>
      </c>
      <c r="X199" s="1"/>
      <c r="Y199" s="1" t="str">
        <f>"02004000731202001"</f>
        <v>02004000731202001</v>
      </c>
      <c r="Z199" s="1" t="s">
        <v>147</v>
      </c>
      <c r="AA199" s="1" t="s">
        <v>1104</v>
      </c>
      <c r="AB199" s="1" t="str">
        <f>"***929292**"</f>
        <v>***929292**</v>
      </c>
      <c r="AC199" s="1"/>
      <c r="AD199" s="1"/>
      <c r="AE199" s="1"/>
      <c r="AF199" s="1">
        <v>-51.411392</v>
      </c>
      <c r="AG199" s="1">
        <v>2.936667</v>
      </c>
      <c r="AH199" s="1" t="s">
        <v>1105</v>
      </c>
      <c r="AI199" s="1"/>
      <c r="AJ199" s="1" t="s">
        <v>800</v>
      </c>
      <c r="AK199" s="1"/>
      <c r="AL199" s="1" t="s">
        <v>79</v>
      </c>
      <c r="AM199" s="1" t="s">
        <v>65</v>
      </c>
      <c r="AN199" s="1"/>
      <c r="AO199" s="2">
        <v>44000.0</v>
      </c>
      <c r="AP199" s="2">
        <v>44000.6001273148</v>
      </c>
      <c r="AQ199" s="1" t="s">
        <v>80</v>
      </c>
      <c r="AR199" s="1" t="s">
        <v>421</v>
      </c>
      <c r="AS199" s="1" t="s">
        <v>1106</v>
      </c>
      <c r="AT199" s="2">
        <v>44269.931099537</v>
      </c>
    </row>
    <row r="200" ht="13.5" customHeight="1">
      <c r="A200" s="1">
        <v>2039576.0</v>
      </c>
      <c r="B200" s="1" t="s">
        <v>67</v>
      </c>
      <c r="C200" s="1" t="s">
        <v>68</v>
      </c>
      <c r="D200" s="1" t="s">
        <v>46</v>
      </c>
      <c r="E200" s="1" t="s">
        <v>1107</v>
      </c>
      <c r="F200" s="1"/>
      <c r="G200" s="1" t="s">
        <v>70</v>
      </c>
      <c r="H200" s="1" t="s">
        <v>93</v>
      </c>
      <c r="I200" s="1">
        <v>500.0</v>
      </c>
      <c r="J200" s="1"/>
      <c r="K200" s="1"/>
      <c r="L200" s="1" t="s">
        <v>264</v>
      </c>
      <c r="M200" s="1" t="s">
        <v>1108</v>
      </c>
      <c r="N200" s="1" t="s">
        <v>95</v>
      </c>
      <c r="O200" s="1" t="s">
        <v>96</v>
      </c>
      <c r="P200" s="2">
        <v>43816.3333333333</v>
      </c>
      <c r="Q200" s="1" t="s">
        <v>74</v>
      </c>
      <c r="R200" s="3">
        <v>43815.0</v>
      </c>
      <c r="S200" s="1"/>
      <c r="T200" s="1">
        <v>4208302.0</v>
      </c>
      <c r="U200" s="1" t="s">
        <v>972</v>
      </c>
      <c r="V200" s="1" t="s">
        <v>267</v>
      </c>
      <c r="W200" s="1" t="s">
        <v>59</v>
      </c>
      <c r="X200" s="1"/>
      <c r="Y200" s="1" t="str">
        <f>"02026003601202063"</f>
        <v>02026003601202063</v>
      </c>
      <c r="Z200" s="1" t="s">
        <v>98</v>
      </c>
      <c r="AA200" s="1" t="s">
        <v>973</v>
      </c>
      <c r="AB200" s="1" t="str">
        <f>"***332679**"</f>
        <v>***332679**</v>
      </c>
      <c r="AC200" s="1"/>
      <c r="AD200" s="1"/>
      <c r="AE200" s="1"/>
      <c r="AF200" s="1">
        <v>-48.641945</v>
      </c>
      <c r="AG200" s="1">
        <v>-27.081112</v>
      </c>
      <c r="AH200" s="1" t="s">
        <v>1109</v>
      </c>
      <c r="AI200" s="1"/>
      <c r="AJ200" s="1" t="s">
        <v>264</v>
      </c>
      <c r="AK200" s="1"/>
      <c r="AL200" s="1" t="s">
        <v>79</v>
      </c>
      <c r="AM200" s="1" t="s">
        <v>65</v>
      </c>
      <c r="AN200" s="1" t="s">
        <v>152</v>
      </c>
      <c r="AO200" s="2">
        <v>44067.0</v>
      </c>
      <c r="AP200" s="2">
        <v>44067.7966435185</v>
      </c>
      <c r="AQ200" s="1" t="s">
        <v>80</v>
      </c>
      <c r="AR200" s="1" t="s">
        <v>475</v>
      </c>
      <c r="AS200" s="1"/>
      <c r="AT200" s="2">
        <v>44269.931099537</v>
      </c>
    </row>
    <row r="201" ht="13.5" customHeight="1">
      <c r="A201" s="1">
        <v>2035684.0</v>
      </c>
      <c r="B201" s="1" t="s">
        <v>67</v>
      </c>
      <c r="C201" s="1" t="s">
        <v>68</v>
      </c>
      <c r="D201" s="1" t="s">
        <v>46</v>
      </c>
      <c r="E201" s="1" t="s">
        <v>1110</v>
      </c>
      <c r="F201" s="1"/>
      <c r="G201" s="1" t="s">
        <v>70</v>
      </c>
      <c r="H201" s="1" t="s">
        <v>93</v>
      </c>
      <c r="I201" s="1">
        <v>15000.0</v>
      </c>
      <c r="J201" s="1"/>
      <c r="K201" s="1"/>
      <c r="L201" s="1" t="s">
        <v>501</v>
      </c>
      <c r="M201" s="1" t="s">
        <v>1111</v>
      </c>
      <c r="N201" s="1" t="s">
        <v>95</v>
      </c>
      <c r="O201" s="1" t="s">
        <v>96</v>
      </c>
      <c r="P201" s="2">
        <v>43815.875</v>
      </c>
      <c r="Q201" s="1" t="s">
        <v>373</v>
      </c>
      <c r="R201" s="3">
        <v>43815.0</v>
      </c>
      <c r="S201" s="1"/>
      <c r="T201" s="1">
        <v>1200351.0</v>
      </c>
      <c r="U201" s="1" t="s">
        <v>1112</v>
      </c>
      <c r="V201" s="1" t="s">
        <v>498</v>
      </c>
      <c r="W201" s="1" t="s">
        <v>177</v>
      </c>
      <c r="X201" s="1"/>
      <c r="Y201" s="1" t="str">
        <f>"02021000645202081"</f>
        <v>02021000645202081</v>
      </c>
      <c r="Z201" s="1" t="s">
        <v>98</v>
      </c>
      <c r="AA201" s="1" t="s">
        <v>1113</v>
      </c>
      <c r="AB201" s="1" t="str">
        <f>"***568292**"</f>
        <v>***568292**</v>
      </c>
      <c r="AC201" s="1"/>
      <c r="AD201" s="1"/>
      <c r="AE201" s="1"/>
      <c r="AF201" s="1">
        <v>-72.760002</v>
      </c>
      <c r="AG201" s="1">
        <v>-8.955833</v>
      </c>
      <c r="AH201" s="1" t="s">
        <v>1114</v>
      </c>
      <c r="AI201" s="1"/>
      <c r="AJ201" s="1" t="s">
        <v>501</v>
      </c>
      <c r="AK201" s="1"/>
      <c r="AL201" s="1" t="s">
        <v>79</v>
      </c>
      <c r="AM201" s="1" t="s">
        <v>65</v>
      </c>
      <c r="AN201" s="1"/>
      <c r="AO201" s="2">
        <v>43914.0</v>
      </c>
      <c r="AP201" s="2">
        <v>43914.3572800926</v>
      </c>
      <c r="AQ201" s="1" t="s">
        <v>80</v>
      </c>
      <c r="AR201" s="1" t="s">
        <v>1115</v>
      </c>
      <c r="AS201" s="1"/>
      <c r="AT201" s="2">
        <v>44269.931099537</v>
      </c>
    </row>
    <row r="202" ht="13.5" customHeight="1">
      <c r="A202" s="1">
        <v>2035696.0</v>
      </c>
      <c r="B202" s="1" t="s">
        <v>67</v>
      </c>
      <c r="C202" s="1" t="s">
        <v>68</v>
      </c>
      <c r="D202" s="1" t="s">
        <v>46</v>
      </c>
      <c r="E202" s="1" t="s">
        <v>1116</v>
      </c>
      <c r="F202" s="1"/>
      <c r="G202" s="1" t="s">
        <v>70</v>
      </c>
      <c r="H202" s="1" t="s">
        <v>93</v>
      </c>
      <c r="I202" s="1">
        <v>500.0</v>
      </c>
      <c r="J202" s="1"/>
      <c r="K202" s="1"/>
      <c r="L202" s="1" t="s">
        <v>501</v>
      </c>
      <c r="M202" s="1" t="s">
        <v>1117</v>
      </c>
      <c r="N202" s="1" t="s">
        <v>95</v>
      </c>
      <c r="O202" s="1" t="s">
        <v>96</v>
      </c>
      <c r="P202" s="2">
        <v>43815.875</v>
      </c>
      <c r="Q202" s="1" t="s">
        <v>373</v>
      </c>
      <c r="R202" s="3">
        <v>43815.0</v>
      </c>
      <c r="S202" s="1"/>
      <c r="T202" s="1">
        <v>1200351.0</v>
      </c>
      <c r="U202" s="1" t="s">
        <v>1112</v>
      </c>
      <c r="V202" s="1" t="s">
        <v>498</v>
      </c>
      <c r="W202" s="1" t="s">
        <v>177</v>
      </c>
      <c r="X202" s="1"/>
      <c r="Y202" s="1" t="str">
        <f>"02021000647202071"</f>
        <v>02021000647202071</v>
      </c>
      <c r="Z202" s="1" t="s">
        <v>98</v>
      </c>
      <c r="AA202" s="1" t="s">
        <v>1118</v>
      </c>
      <c r="AB202" s="1" t="str">
        <f>"***316952**"</f>
        <v>***316952**</v>
      </c>
      <c r="AC202" s="1"/>
      <c r="AD202" s="1"/>
      <c r="AE202" s="1"/>
      <c r="AF202" s="1">
        <v>-72.760002</v>
      </c>
      <c r="AG202" s="1">
        <v>-8.955833</v>
      </c>
      <c r="AH202" s="1" t="s">
        <v>1119</v>
      </c>
      <c r="AI202" s="1"/>
      <c r="AJ202" s="1" t="s">
        <v>501</v>
      </c>
      <c r="AK202" s="1"/>
      <c r="AL202" s="1" t="s">
        <v>79</v>
      </c>
      <c r="AM202" s="1" t="s">
        <v>65</v>
      </c>
      <c r="AN202" s="1"/>
      <c r="AO202" s="2">
        <v>43914.0</v>
      </c>
      <c r="AP202" s="2">
        <v>43914.6444328704</v>
      </c>
      <c r="AQ202" s="1" t="s">
        <v>80</v>
      </c>
      <c r="AR202" s="1" t="s">
        <v>1120</v>
      </c>
      <c r="AS202" s="1"/>
      <c r="AT202" s="2">
        <v>44269.931099537</v>
      </c>
    </row>
    <row r="203" ht="13.5" customHeight="1">
      <c r="A203" s="1"/>
      <c r="B203" s="1" t="s">
        <v>46</v>
      </c>
      <c r="C203" s="1" t="s">
        <v>47</v>
      </c>
      <c r="D203" s="1"/>
      <c r="E203" s="1" t="s">
        <v>1121</v>
      </c>
      <c r="F203" s="1"/>
      <c r="G203" s="1" t="s">
        <v>49</v>
      </c>
      <c r="H203" s="1" t="s">
        <v>93</v>
      </c>
      <c r="I203" s="1">
        <v>11800.0</v>
      </c>
      <c r="J203" s="1"/>
      <c r="K203" s="1"/>
      <c r="L203" s="1"/>
      <c r="M203" s="1" t="s">
        <v>1122</v>
      </c>
      <c r="N203" s="1" t="s">
        <v>95</v>
      </c>
      <c r="O203" s="1" t="s">
        <v>96</v>
      </c>
      <c r="P203" s="2">
        <v>43815.8460763889</v>
      </c>
      <c r="Q203" s="1" t="s">
        <v>55</v>
      </c>
      <c r="R203" s="1"/>
      <c r="S203" s="1"/>
      <c r="T203" s="1">
        <v>3518800.0</v>
      </c>
      <c r="U203" s="1" t="s">
        <v>57</v>
      </c>
      <c r="V203" s="1" t="s">
        <v>58</v>
      </c>
      <c r="W203" s="1" t="s">
        <v>59</v>
      </c>
      <c r="X203" s="1"/>
      <c r="Y203" s="1"/>
      <c r="Z203" s="1" t="s">
        <v>98</v>
      </c>
      <c r="AA203" s="1" t="s">
        <v>1123</v>
      </c>
      <c r="AB203" s="1" t="str">
        <f>"***517147**"</f>
        <v>***517147**</v>
      </c>
      <c r="AC203" s="1"/>
      <c r="AD203" s="1" t="s">
        <v>62</v>
      </c>
      <c r="AE203" s="1"/>
      <c r="AF203" s="1">
        <v>-46.451946</v>
      </c>
      <c r="AG203" s="1">
        <v>-23.423889</v>
      </c>
      <c r="AH203" s="1" t="s">
        <v>1124</v>
      </c>
      <c r="AI203" s="1"/>
      <c r="AJ203" s="1" t="s">
        <v>64</v>
      </c>
      <c r="AK203" s="1"/>
      <c r="AL203" s="1"/>
      <c r="AM203" s="1" t="s">
        <v>65</v>
      </c>
      <c r="AN203" s="1"/>
      <c r="AO203" s="1"/>
      <c r="AP203" s="2">
        <v>43815.8896527778</v>
      </c>
      <c r="AQ203" s="1"/>
      <c r="AR203" s="1" t="s">
        <v>935</v>
      </c>
      <c r="AS203" s="1"/>
      <c r="AT203" s="2">
        <v>44269.931099537</v>
      </c>
    </row>
    <row r="204" ht="13.5" customHeight="1">
      <c r="A204" s="1"/>
      <c r="B204" s="1" t="s">
        <v>46</v>
      </c>
      <c r="C204" s="1" t="s">
        <v>47</v>
      </c>
      <c r="D204" s="1"/>
      <c r="E204" s="1" t="s">
        <v>1125</v>
      </c>
      <c r="F204" s="1"/>
      <c r="G204" s="1" t="s">
        <v>49</v>
      </c>
      <c r="H204" s="1" t="s">
        <v>93</v>
      </c>
      <c r="I204" s="1">
        <v>3000.0</v>
      </c>
      <c r="J204" s="1"/>
      <c r="K204" s="1"/>
      <c r="L204" s="1"/>
      <c r="M204" s="1" t="s">
        <v>1126</v>
      </c>
      <c r="N204" s="1" t="s">
        <v>95</v>
      </c>
      <c r="O204" s="1" t="s">
        <v>96</v>
      </c>
      <c r="P204" s="2">
        <v>43815.7692361111</v>
      </c>
      <c r="Q204" s="1" t="s">
        <v>373</v>
      </c>
      <c r="R204" s="1"/>
      <c r="S204" s="1"/>
      <c r="T204" s="1">
        <v>1300607.0</v>
      </c>
      <c r="U204" s="1" t="s">
        <v>1127</v>
      </c>
      <c r="V204" s="1" t="s">
        <v>486</v>
      </c>
      <c r="W204" s="1" t="s">
        <v>177</v>
      </c>
      <c r="X204" s="1"/>
      <c r="Y204" s="1"/>
      <c r="Z204" s="1" t="s">
        <v>98</v>
      </c>
      <c r="AA204" s="1" t="s">
        <v>1128</v>
      </c>
      <c r="AB204" s="1" t="str">
        <f>"***364702**"</f>
        <v>***364702**</v>
      </c>
      <c r="AC204" s="1"/>
      <c r="AD204" s="1" t="s">
        <v>62</v>
      </c>
      <c r="AE204" s="1"/>
      <c r="AF204" s="1">
        <v>-70.065</v>
      </c>
      <c r="AG204" s="1">
        <v>-4.323889</v>
      </c>
      <c r="AH204" s="1" t="s">
        <v>1129</v>
      </c>
      <c r="AI204" s="1"/>
      <c r="AJ204" s="1" t="s">
        <v>172</v>
      </c>
      <c r="AK204" s="1"/>
      <c r="AL204" s="1"/>
      <c r="AM204" s="1" t="s">
        <v>65</v>
      </c>
      <c r="AN204" s="1" t="s">
        <v>808</v>
      </c>
      <c r="AO204" s="1"/>
      <c r="AP204" s="2">
        <v>44256.800162037</v>
      </c>
      <c r="AQ204" s="1"/>
      <c r="AR204" s="1" t="s">
        <v>1130</v>
      </c>
      <c r="AS204" s="1"/>
      <c r="AT204" s="2">
        <v>44269.931099537</v>
      </c>
    </row>
    <row r="205" ht="13.5" customHeight="1">
      <c r="A205" s="1">
        <v>2034670.0</v>
      </c>
      <c r="B205" s="1" t="s">
        <v>67</v>
      </c>
      <c r="C205" s="1" t="s">
        <v>68</v>
      </c>
      <c r="D205" s="1" t="s">
        <v>46</v>
      </c>
      <c r="E205" s="1" t="s">
        <v>1131</v>
      </c>
      <c r="F205" s="1"/>
      <c r="G205" s="1" t="s">
        <v>70</v>
      </c>
      <c r="H205" s="1" t="s">
        <v>50</v>
      </c>
      <c r="I205" s="1">
        <v>2000.0</v>
      </c>
      <c r="J205" s="1"/>
      <c r="K205" s="1"/>
      <c r="L205" s="1" t="s">
        <v>264</v>
      </c>
      <c r="M205" s="1" t="s">
        <v>1132</v>
      </c>
      <c r="N205" s="1" t="s">
        <v>283</v>
      </c>
      <c r="O205" s="1" t="s">
        <v>1133</v>
      </c>
      <c r="P205" s="2">
        <v>43815.75</v>
      </c>
      <c r="Q205" s="1" t="s">
        <v>74</v>
      </c>
      <c r="R205" s="3">
        <v>43815.0</v>
      </c>
      <c r="S205" s="1"/>
      <c r="T205" s="1">
        <v>4205407.0</v>
      </c>
      <c r="U205" s="1" t="s">
        <v>1069</v>
      </c>
      <c r="V205" s="1" t="s">
        <v>267</v>
      </c>
      <c r="W205" s="1" t="s">
        <v>288</v>
      </c>
      <c r="X205" s="1"/>
      <c r="Y205" s="1" t="str">
        <f>"02026004111201941"</f>
        <v>02026004111201941</v>
      </c>
      <c r="Z205" s="1" t="s">
        <v>128</v>
      </c>
      <c r="AA205" s="1" t="s">
        <v>1134</v>
      </c>
      <c r="AB205" s="1" t="str">
        <f>"03919856000153"</f>
        <v>03919856000153</v>
      </c>
      <c r="AC205" s="1"/>
      <c r="AD205" s="1"/>
      <c r="AE205" s="1"/>
      <c r="AF205" s="1">
        <v>-48.55722</v>
      </c>
      <c r="AG205" s="1">
        <v>-27.594444</v>
      </c>
      <c r="AH205" s="1" t="s">
        <v>1135</v>
      </c>
      <c r="AI205" s="1"/>
      <c r="AJ205" s="1" t="s">
        <v>264</v>
      </c>
      <c r="AK205" s="1"/>
      <c r="AL205" s="1" t="s">
        <v>79</v>
      </c>
      <c r="AM205" s="1" t="s">
        <v>65</v>
      </c>
      <c r="AN205" s="1" t="s">
        <v>152</v>
      </c>
      <c r="AO205" s="2">
        <v>43889.0</v>
      </c>
      <c r="AP205" s="2">
        <v>43889.5253240741</v>
      </c>
      <c r="AQ205" s="1" t="s">
        <v>80</v>
      </c>
      <c r="AR205" s="1" t="s">
        <v>1136</v>
      </c>
      <c r="AS205" s="1"/>
      <c r="AT205" s="2">
        <v>44269.931099537</v>
      </c>
    </row>
    <row r="206" ht="13.5" customHeight="1">
      <c r="A206" s="1">
        <v>2044277.0</v>
      </c>
      <c r="B206" s="1" t="s">
        <v>67</v>
      </c>
      <c r="C206" s="1" t="s">
        <v>68</v>
      </c>
      <c r="D206" s="1" t="s">
        <v>46</v>
      </c>
      <c r="E206" s="1" t="s">
        <v>1137</v>
      </c>
      <c r="F206" s="1"/>
      <c r="G206" s="1" t="s">
        <v>70</v>
      </c>
      <c r="H206" s="1" t="s">
        <v>50</v>
      </c>
      <c r="I206" s="1">
        <v>1500.0</v>
      </c>
      <c r="J206" s="1"/>
      <c r="K206" s="1"/>
      <c r="L206" s="1" t="s">
        <v>64</v>
      </c>
      <c r="M206" s="1" t="s">
        <v>1138</v>
      </c>
      <c r="N206" s="1" t="s">
        <v>72</v>
      </c>
      <c r="O206" s="1" t="s">
        <v>73</v>
      </c>
      <c r="P206" s="2">
        <v>43815.75</v>
      </c>
      <c r="Q206" s="1" t="s">
        <v>74</v>
      </c>
      <c r="R206" s="3">
        <v>43815.0</v>
      </c>
      <c r="S206" s="1"/>
      <c r="T206" s="1">
        <v>3550308.0</v>
      </c>
      <c r="U206" s="1" t="s">
        <v>607</v>
      </c>
      <c r="V206" s="1" t="s">
        <v>58</v>
      </c>
      <c r="W206" s="1" t="s">
        <v>59</v>
      </c>
      <c r="X206" s="1"/>
      <c r="Y206" s="1" t="str">
        <f>"02027022689201979"</f>
        <v>02027022689201979</v>
      </c>
      <c r="Z206" s="1" t="s">
        <v>76</v>
      </c>
      <c r="AA206" s="1" t="s">
        <v>1139</v>
      </c>
      <c r="AB206" s="1" t="str">
        <f>"***474039**"</f>
        <v>***474039**</v>
      </c>
      <c r="AC206" s="1"/>
      <c r="AD206" s="1"/>
      <c r="AE206" s="1"/>
      <c r="AF206" s="1">
        <v>-46.668611</v>
      </c>
      <c r="AG206" s="1">
        <v>-23.559722</v>
      </c>
      <c r="AH206" s="1" t="s">
        <v>1140</v>
      </c>
      <c r="AI206" s="1"/>
      <c r="AJ206" s="1" t="s">
        <v>64</v>
      </c>
      <c r="AK206" s="1"/>
      <c r="AL206" s="1" t="s">
        <v>79</v>
      </c>
      <c r="AM206" s="1" t="s">
        <v>65</v>
      </c>
      <c r="AN206" s="1"/>
      <c r="AO206" s="2">
        <v>44266.0</v>
      </c>
      <c r="AP206" s="2">
        <v>44266.7610763889</v>
      </c>
      <c r="AQ206" s="1" t="s">
        <v>80</v>
      </c>
      <c r="AR206" s="1" t="s">
        <v>81</v>
      </c>
      <c r="AS206" s="1"/>
      <c r="AT206" s="2">
        <v>44269.931099537</v>
      </c>
    </row>
    <row r="207" ht="13.5" customHeight="1">
      <c r="A207" s="1"/>
      <c r="B207" s="1" t="s">
        <v>46</v>
      </c>
      <c r="C207" s="1" t="s">
        <v>47</v>
      </c>
      <c r="D207" s="1"/>
      <c r="E207" s="1" t="s">
        <v>1141</v>
      </c>
      <c r="F207" s="1"/>
      <c r="G207" s="1" t="s">
        <v>49</v>
      </c>
      <c r="H207" s="1" t="s">
        <v>93</v>
      </c>
      <c r="I207" s="1">
        <v>1500.0</v>
      </c>
      <c r="J207" s="1"/>
      <c r="K207" s="1" t="s">
        <v>51</v>
      </c>
      <c r="L207" s="1"/>
      <c r="M207" s="1" t="s">
        <v>1142</v>
      </c>
      <c r="N207" s="1" t="s">
        <v>123</v>
      </c>
      <c r="O207" s="1" t="s">
        <v>73</v>
      </c>
      <c r="P207" s="2">
        <v>43815.7241898148</v>
      </c>
      <c r="Q207" s="1" t="s">
        <v>74</v>
      </c>
      <c r="R207" s="1"/>
      <c r="S207" s="1"/>
      <c r="T207" s="1">
        <v>1506005.0</v>
      </c>
      <c r="U207" s="1" t="s">
        <v>1143</v>
      </c>
      <c r="V207" s="1" t="s">
        <v>193</v>
      </c>
      <c r="W207" s="1" t="s">
        <v>177</v>
      </c>
      <c r="X207" s="1"/>
      <c r="Y207" s="1"/>
      <c r="Z207" s="1" t="s">
        <v>76</v>
      </c>
      <c r="AA207" s="1" t="s">
        <v>1144</v>
      </c>
      <c r="AB207" s="1" t="str">
        <f>"***813452**"</f>
        <v>***813452**</v>
      </c>
      <c r="AC207" s="1"/>
      <c r="AD207" s="1" t="s">
        <v>62</v>
      </c>
      <c r="AE207" s="1"/>
      <c r="AF207" s="1">
        <v>-53.759998</v>
      </c>
      <c r="AG207" s="1">
        <v>-2.758611</v>
      </c>
      <c r="AH207" s="1" t="s">
        <v>1145</v>
      </c>
      <c r="AI207" s="1"/>
      <c r="AJ207" s="1" t="s">
        <v>172</v>
      </c>
      <c r="AK207" s="1"/>
      <c r="AL207" s="1"/>
      <c r="AM207" s="1" t="s">
        <v>65</v>
      </c>
      <c r="AN207" s="1" t="s">
        <v>1146</v>
      </c>
      <c r="AO207" s="1"/>
      <c r="AP207" s="2">
        <v>43815.7344328704</v>
      </c>
      <c r="AQ207" s="1"/>
      <c r="AR207" s="1" t="s">
        <v>153</v>
      </c>
      <c r="AS207" s="1"/>
      <c r="AT207" s="2">
        <v>44269.931099537</v>
      </c>
    </row>
    <row r="208" ht="13.5" customHeight="1">
      <c r="A208" s="1">
        <v>2034671.0</v>
      </c>
      <c r="B208" s="1" t="s">
        <v>67</v>
      </c>
      <c r="C208" s="1" t="s">
        <v>68</v>
      </c>
      <c r="D208" s="1" t="s">
        <v>46</v>
      </c>
      <c r="E208" s="1" t="s">
        <v>1147</v>
      </c>
      <c r="F208" s="1"/>
      <c r="G208" s="1" t="s">
        <v>70</v>
      </c>
      <c r="H208" s="1" t="s">
        <v>93</v>
      </c>
      <c r="I208" s="1">
        <v>900.0</v>
      </c>
      <c r="J208" s="1"/>
      <c r="K208" s="1"/>
      <c r="L208" s="1" t="s">
        <v>264</v>
      </c>
      <c r="M208" s="1" t="s">
        <v>1148</v>
      </c>
      <c r="N208" s="1" t="s">
        <v>108</v>
      </c>
      <c r="O208" s="1" t="s">
        <v>109</v>
      </c>
      <c r="P208" s="2">
        <v>43815.7083333333</v>
      </c>
      <c r="Q208" s="1" t="s">
        <v>74</v>
      </c>
      <c r="R208" s="3">
        <v>43815.0</v>
      </c>
      <c r="S208" s="1"/>
      <c r="T208" s="1">
        <v>4205407.0</v>
      </c>
      <c r="U208" s="1" t="s">
        <v>1069</v>
      </c>
      <c r="V208" s="1" t="s">
        <v>267</v>
      </c>
      <c r="W208" s="1" t="s">
        <v>288</v>
      </c>
      <c r="X208" s="1"/>
      <c r="Y208" s="1" t="str">
        <f>"02026004112201995"</f>
        <v>02026004112201995</v>
      </c>
      <c r="Z208" s="1" t="s">
        <v>226</v>
      </c>
      <c r="AA208" s="1" t="s">
        <v>1134</v>
      </c>
      <c r="AB208" s="1" t="str">
        <f>"03919856000153"</f>
        <v>03919856000153</v>
      </c>
      <c r="AC208" s="1"/>
      <c r="AD208" s="1"/>
      <c r="AE208" s="1"/>
      <c r="AF208" s="1">
        <v>-48.55722</v>
      </c>
      <c r="AG208" s="1">
        <v>-27.594444</v>
      </c>
      <c r="AH208" s="1" t="s">
        <v>1135</v>
      </c>
      <c r="AI208" s="1"/>
      <c r="AJ208" s="1" t="s">
        <v>264</v>
      </c>
      <c r="AK208" s="1"/>
      <c r="AL208" s="1" t="s">
        <v>79</v>
      </c>
      <c r="AM208" s="1" t="s">
        <v>65</v>
      </c>
      <c r="AN208" s="1" t="s">
        <v>152</v>
      </c>
      <c r="AO208" s="2">
        <v>43889.0</v>
      </c>
      <c r="AP208" s="2">
        <v>43889.5254166667</v>
      </c>
      <c r="AQ208" s="1" t="s">
        <v>80</v>
      </c>
      <c r="AR208" s="1" t="s">
        <v>1149</v>
      </c>
      <c r="AS208" s="1"/>
      <c r="AT208" s="2">
        <v>44269.931099537</v>
      </c>
    </row>
    <row r="209" ht="13.5" customHeight="1">
      <c r="A209" s="1"/>
      <c r="B209" s="1" t="s">
        <v>46</v>
      </c>
      <c r="C209" s="1" t="s">
        <v>47</v>
      </c>
      <c r="D209" s="1"/>
      <c r="E209" s="1" t="s">
        <v>1150</v>
      </c>
      <c r="F209" s="1"/>
      <c r="G209" s="1" t="s">
        <v>49</v>
      </c>
      <c r="H209" s="1" t="s">
        <v>93</v>
      </c>
      <c r="I209" s="1">
        <v>4110.0</v>
      </c>
      <c r="J209" s="1"/>
      <c r="K209" s="1"/>
      <c r="L209" s="1"/>
      <c r="M209" s="1" t="s">
        <v>1151</v>
      </c>
      <c r="N209" s="1" t="s">
        <v>142</v>
      </c>
      <c r="O209" s="1" t="s">
        <v>143</v>
      </c>
      <c r="P209" s="2">
        <v>43815.691400463</v>
      </c>
      <c r="Q209" s="1" t="s">
        <v>74</v>
      </c>
      <c r="R209" s="3">
        <v>43815.0</v>
      </c>
      <c r="S209" s="1"/>
      <c r="T209" s="1">
        <v>1600055.0</v>
      </c>
      <c r="U209" s="1" t="s">
        <v>1152</v>
      </c>
      <c r="V209" s="1" t="s">
        <v>797</v>
      </c>
      <c r="W209" s="1" t="s">
        <v>177</v>
      </c>
      <c r="X209" s="1"/>
      <c r="Y209" s="1"/>
      <c r="Z209" s="1" t="s">
        <v>147</v>
      </c>
      <c r="AA209" s="1" t="s">
        <v>1153</v>
      </c>
      <c r="AB209" s="1" t="str">
        <f>"***419522**"</f>
        <v>***419522**</v>
      </c>
      <c r="AC209" s="1"/>
      <c r="AD209" s="1" t="s">
        <v>149</v>
      </c>
      <c r="AE209" s="1"/>
      <c r="AF209" s="1">
        <v>-51.973888</v>
      </c>
      <c r="AG209" s="1">
        <v>0.941667</v>
      </c>
      <c r="AH209" s="1" t="s">
        <v>1154</v>
      </c>
      <c r="AI209" s="1"/>
      <c r="AJ209" s="1" t="s">
        <v>800</v>
      </c>
      <c r="AK209" s="1"/>
      <c r="AL209" s="1"/>
      <c r="AM209" s="1" t="s">
        <v>65</v>
      </c>
      <c r="AN209" s="1" t="s">
        <v>152</v>
      </c>
      <c r="AO209" s="1"/>
      <c r="AP209" s="2">
        <v>43815.7157523148</v>
      </c>
      <c r="AQ209" s="1"/>
      <c r="AR209" s="1" t="s">
        <v>280</v>
      </c>
      <c r="AS209" s="1"/>
      <c r="AT209" s="2">
        <v>44269.931099537</v>
      </c>
    </row>
    <row r="210" ht="13.5" customHeight="1">
      <c r="A210" s="1"/>
      <c r="B210" s="1" t="s">
        <v>46</v>
      </c>
      <c r="C210" s="1" t="s">
        <v>47</v>
      </c>
      <c r="D210" s="1"/>
      <c r="E210" s="1" t="s">
        <v>1155</v>
      </c>
      <c r="F210" s="1"/>
      <c r="G210" s="1" t="s">
        <v>49</v>
      </c>
      <c r="H210" s="1" t="s">
        <v>93</v>
      </c>
      <c r="I210" s="1">
        <v>75900.0</v>
      </c>
      <c r="J210" s="1"/>
      <c r="K210" s="1"/>
      <c r="L210" s="1"/>
      <c r="M210" s="1" t="s">
        <v>1156</v>
      </c>
      <c r="N210" s="1" t="s">
        <v>142</v>
      </c>
      <c r="O210" s="1" t="s">
        <v>143</v>
      </c>
      <c r="P210" s="2">
        <v>43815.6874074074</v>
      </c>
      <c r="Q210" s="1" t="s">
        <v>74</v>
      </c>
      <c r="R210" s="3">
        <v>42825.0</v>
      </c>
      <c r="S210" s="1"/>
      <c r="T210" s="1">
        <v>5101407.0</v>
      </c>
      <c r="U210" s="1" t="s">
        <v>1157</v>
      </c>
      <c r="V210" s="1" t="s">
        <v>164</v>
      </c>
      <c r="W210" s="1" t="s">
        <v>177</v>
      </c>
      <c r="X210" s="1"/>
      <c r="Y210" s="1"/>
      <c r="Z210" s="1" t="s">
        <v>147</v>
      </c>
      <c r="AA210" s="1" t="s">
        <v>1158</v>
      </c>
      <c r="AB210" s="1" t="str">
        <f>"15062204000124"</f>
        <v>15062204000124</v>
      </c>
      <c r="AC210" s="1"/>
      <c r="AD210" s="1" t="s">
        <v>149</v>
      </c>
      <c r="AE210" s="1"/>
      <c r="AF210" s="1">
        <v>-59.923336</v>
      </c>
      <c r="AG210" s="1">
        <v>-9.923334</v>
      </c>
      <c r="AH210" s="1" t="s">
        <v>1159</v>
      </c>
      <c r="AI210" s="1"/>
      <c r="AJ210" s="1" t="s">
        <v>167</v>
      </c>
      <c r="AK210" s="1"/>
      <c r="AL210" s="1"/>
      <c r="AM210" s="1" t="s">
        <v>65</v>
      </c>
      <c r="AN210" s="1" t="s">
        <v>168</v>
      </c>
      <c r="AO210" s="1"/>
      <c r="AP210" s="2">
        <v>43815.6957291667</v>
      </c>
      <c r="AQ210" s="1"/>
      <c r="AR210" s="1" t="s">
        <v>613</v>
      </c>
      <c r="AS210" s="1"/>
      <c r="AT210" s="2">
        <v>44269.931099537</v>
      </c>
    </row>
    <row r="211" ht="13.5" customHeight="1">
      <c r="A211" s="1"/>
      <c r="B211" s="1" t="s">
        <v>46</v>
      </c>
      <c r="C211" s="1" t="s">
        <v>47</v>
      </c>
      <c r="D211" s="1"/>
      <c r="E211" s="1" t="s">
        <v>1160</v>
      </c>
      <c r="F211" s="1"/>
      <c r="G211" s="1" t="s">
        <v>49</v>
      </c>
      <c r="H211" s="1" t="s">
        <v>50</v>
      </c>
      <c r="I211" s="1">
        <v>5700.0</v>
      </c>
      <c r="J211" s="1"/>
      <c r="K211" s="1" t="s">
        <v>51</v>
      </c>
      <c r="L211" s="1"/>
      <c r="M211" s="1" t="s">
        <v>1161</v>
      </c>
      <c r="N211" s="1" t="s">
        <v>53</v>
      </c>
      <c r="O211" s="1" t="s">
        <v>54</v>
      </c>
      <c r="P211" s="2">
        <v>43815.6537037037</v>
      </c>
      <c r="Q211" s="1" t="s">
        <v>373</v>
      </c>
      <c r="R211" s="1"/>
      <c r="S211" s="1"/>
      <c r="T211" s="1">
        <v>1400209.0</v>
      </c>
      <c r="U211" s="1" t="s">
        <v>1162</v>
      </c>
      <c r="V211" s="1" t="s">
        <v>186</v>
      </c>
      <c r="W211" s="1" t="s">
        <v>177</v>
      </c>
      <c r="X211" s="1"/>
      <c r="Y211" s="1"/>
      <c r="Z211" s="1" t="s">
        <v>60</v>
      </c>
      <c r="AA211" s="1" t="s">
        <v>1163</v>
      </c>
      <c r="AB211" s="1" t="str">
        <f>"***795143**"</f>
        <v>***795143**</v>
      </c>
      <c r="AC211" s="1"/>
      <c r="AD211" s="1" t="s">
        <v>62</v>
      </c>
      <c r="AE211" s="1"/>
      <c r="AF211" s="1">
        <v>-61.035557</v>
      </c>
      <c r="AG211" s="1">
        <v>1.088056</v>
      </c>
      <c r="AH211" s="1" t="s">
        <v>1164</v>
      </c>
      <c r="AI211" s="1"/>
      <c r="AJ211" s="1" t="s">
        <v>415</v>
      </c>
      <c r="AK211" s="1"/>
      <c r="AL211" s="1"/>
      <c r="AM211" s="1" t="s">
        <v>65</v>
      </c>
      <c r="AN211" s="1" t="s">
        <v>1165</v>
      </c>
      <c r="AO211" s="1"/>
      <c r="AP211" s="2">
        <v>43815.669525463</v>
      </c>
      <c r="AQ211" s="1"/>
      <c r="AR211" s="1" t="s">
        <v>941</v>
      </c>
      <c r="AS211" s="1" t="s">
        <v>1166</v>
      </c>
      <c r="AT211" s="2">
        <v>44269.931099537</v>
      </c>
    </row>
    <row r="212" ht="13.5" customHeight="1">
      <c r="A212" s="1"/>
      <c r="B212" s="1" t="s">
        <v>46</v>
      </c>
      <c r="C212" s="1" t="s">
        <v>47</v>
      </c>
      <c r="D212" s="1"/>
      <c r="E212" s="1" t="s">
        <v>1167</v>
      </c>
      <c r="F212" s="1"/>
      <c r="G212" s="1" t="s">
        <v>49</v>
      </c>
      <c r="H212" s="1" t="s">
        <v>93</v>
      </c>
      <c r="I212" s="1">
        <v>21421.35</v>
      </c>
      <c r="J212" s="1"/>
      <c r="K212" s="1"/>
      <c r="L212" s="1"/>
      <c r="M212" s="1" t="s">
        <v>1168</v>
      </c>
      <c r="N212" s="1" t="s">
        <v>142</v>
      </c>
      <c r="O212" s="1" t="s">
        <v>143</v>
      </c>
      <c r="P212" s="2">
        <v>43815.6359375</v>
      </c>
      <c r="Q212" s="1" t="s">
        <v>373</v>
      </c>
      <c r="R212" s="1"/>
      <c r="S212" s="1"/>
      <c r="T212" s="1">
        <v>1508084.0</v>
      </c>
      <c r="U212" s="1" t="s">
        <v>1169</v>
      </c>
      <c r="V212" s="1" t="s">
        <v>193</v>
      </c>
      <c r="W212" s="1" t="s">
        <v>530</v>
      </c>
      <c r="X212" s="1"/>
      <c r="Y212" s="1"/>
      <c r="Z212" s="1" t="s">
        <v>147</v>
      </c>
      <c r="AA212" s="1" t="s">
        <v>1170</v>
      </c>
      <c r="AB212" s="1" t="str">
        <f>"***786522**"</f>
        <v>***786522**</v>
      </c>
      <c r="AC212" s="1"/>
      <c r="AD212" s="1" t="s">
        <v>62</v>
      </c>
      <c r="AE212" s="1"/>
      <c r="AF212" s="1">
        <v>-51.180557</v>
      </c>
      <c r="AG212" s="1">
        <v>-6.774167</v>
      </c>
      <c r="AH212" s="1" t="s">
        <v>1171</v>
      </c>
      <c r="AI212" s="1"/>
      <c r="AJ212" s="1" t="s">
        <v>1172</v>
      </c>
      <c r="AK212" s="1"/>
      <c r="AL212" s="1"/>
      <c r="AM212" s="1" t="s">
        <v>65</v>
      </c>
      <c r="AN212" s="1" t="s">
        <v>1173</v>
      </c>
      <c r="AO212" s="1"/>
      <c r="AP212" s="2">
        <v>43816.5737037037</v>
      </c>
      <c r="AQ212" s="1"/>
      <c r="AR212" s="1" t="s">
        <v>280</v>
      </c>
      <c r="AS212" s="1" t="s">
        <v>1174</v>
      </c>
      <c r="AT212" s="2">
        <v>44269.931099537</v>
      </c>
    </row>
    <row r="213" ht="13.5" customHeight="1">
      <c r="A213" s="1">
        <v>2034509.0</v>
      </c>
      <c r="B213" s="1" t="s">
        <v>67</v>
      </c>
      <c r="C213" s="1" t="s">
        <v>68</v>
      </c>
      <c r="D213" s="1" t="s">
        <v>46</v>
      </c>
      <c r="E213" s="1" t="s">
        <v>1175</v>
      </c>
      <c r="F213" s="1"/>
      <c r="G213" s="1" t="s">
        <v>70</v>
      </c>
      <c r="H213" s="1" t="s">
        <v>93</v>
      </c>
      <c r="I213" s="1">
        <v>6600.0</v>
      </c>
      <c r="J213" s="1"/>
      <c r="K213" s="1"/>
      <c r="L213" s="1" t="s">
        <v>106</v>
      </c>
      <c r="M213" s="1" t="s">
        <v>1176</v>
      </c>
      <c r="N213" s="1" t="s">
        <v>142</v>
      </c>
      <c r="O213" s="1" t="s">
        <v>143</v>
      </c>
      <c r="P213" s="2">
        <v>43815.6340277778</v>
      </c>
      <c r="Q213" s="1" t="s">
        <v>373</v>
      </c>
      <c r="R213" s="1"/>
      <c r="S213" s="1"/>
      <c r="T213" s="1">
        <v>2311306.0</v>
      </c>
      <c r="U213" s="1" t="s">
        <v>1177</v>
      </c>
      <c r="V213" s="1" t="s">
        <v>112</v>
      </c>
      <c r="W213" s="1" t="s">
        <v>113</v>
      </c>
      <c r="X213" s="1"/>
      <c r="Y213" s="1" t="str">
        <f>"02007000313202085"</f>
        <v>02007000313202085</v>
      </c>
      <c r="Z213" s="1" t="s">
        <v>1178</v>
      </c>
      <c r="AA213" s="1" t="s">
        <v>1179</v>
      </c>
      <c r="AB213" s="1" t="str">
        <f>"***548153**"</f>
        <v>***548153**</v>
      </c>
      <c r="AC213" s="1"/>
      <c r="AD213" s="1" t="s">
        <v>116</v>
      </c>
      <c r="AE213" s="1"/>
      <c r="AF213" s="1">
        <v>0.0</v>
      </c>
      <c r="AG213" s="1">
        <v>0.0</v>
      </c>
      <c r="AH213" s="1" t="s">
        <v>1180</v>
      </c>
      <c r="AI213" s="1"/>
      <c r="AJ213" s="1"/>
      <c r="AK213" s="1"/>
      <c r="AL213" s="1" t="s">
        <v>118</v>
      </c>
      <c r="AM213" s="1"/>
      <c r="AN213" s="1"/>
      <c r="AO213" s="2">
        <v>43879.727662037</v>
      </c>
      <c r="AP213" s="2">
        <v>43879.727662037</v>
      </c>
      <c r="AQ213" s="1" t="s">
        <v>80</v>
      </c>
      <c r="AR213" s="1" t="s">
        <v>1181</v>
      </c>
      <c r="AS213" s="1" t="s">
        <v>1182</v>
      </c>
      <c r="AT213" s="2">
        <v>44269.931099537</v>
      </c>
    </row>
    <row r="214" ht="13.5" customHeight="1">
      <c r="A214" s="1"/>
      <c r="B214" s="1" t="s">
        <v>46</v>
      </c>
      <c r="C214" s="1" t="s">
        <v>47</v>
      </c>
      <c r="D214" s="1"/>
      <c r="E214" s="1" t="s">
        <v>1183</v>
      </c>
      <c r="F214" s="1"/>
      <c r="G214" s="1" t="s">
        <v>49</v>
      </c>
      <c r="H214" s="1" t="s">
        <v>93</v>
      </c>
      <c r="I214" s="1">
        <v>71460.9</v>
      </c>
      <c r="J214" s="1"/>
      <c r="K214" s="1"/>
      <c r="L214" s="1"/>
      <c r="M214" s="1" t="s">
        <v>1184</v>
      </c>
      <c r="N214" s="1" t="s">
        <v>142</v>
      </c>
      <c r="O214" s="1" t="s">
        <v>143</v>
      </c>
      <c r="P214" s="2">
        <v>43815.5968981482</v>
      </c>
      <c r="Q214" s="1" t="s">
        <v>55</v>
      </c>
      <c r="R214" s="1"/>
      <c r="S214" s="1"/>
      <c r="T214" s="1">
        <v>1400605.0</v>
      </c>
      <c r="U214" s="1" t="s">
        <v>928</v>
      </c>
      <c r="V214" s="1" t="s">
        <v>186</v>
      </c>
      <c r="W214" s="1" t="s">
        <v>177</v>
      </c>
      <c r="X214" s="1"/>
      <c r="Y214" s="1" t="str">
        <f>"02001007416202026"</f>
        <v>02001007416202026</v>
      </c>
      <c r="Z214" s="1" t="s">
        <v>147</v>
      </c>
      <c r="AA214" s="1" t="s">
        <v>1185</v>
      </c>
      <c r="AB214" s="1" t="str">
        <f>"2890156180"</f>
        <v>2890156180</v>
      </c>
      <c r="AC214" s="1"/>
      <c r="AD214" s="1" t="s">
        <v>116</v>
      </c>
      <c r="AE214" s="1"/>
      <c r="AF214" s="1">
        <v>-60.001667</v>
      </c>
      <c r="AG214" s="1">
        <v>1.0025</v>
      </c>
      <c r="AH214" s="1" t="s">
        <v>1186</v>
      </c>
      <c r="AI214" s="1"/>
      <c r="AJ214" s="1" t="s">
        <v>172</v>
      </c>
      <c r="AK214" s="1"/>
      <c r="AL214" s="1"/>
      <c r="AM214" s="1" t="s">
        <v>65</v>
      </c>
      <c r="AN214" s="1" t="s">
        <v>180</v>
      </c>
      <c r="AO214" s="1"/>
      <c r="AP214" s="2">
        <v>44084.5596527778</v>
      </c>
      <c r="AQ214" s="1"/>
      <c r="AR214" s="1" t="s">
        <v>1187</v>
      </c>
      <c r="AS214" s="1"/>
      <c r="AT214" s="2">
        <v>44269.931099537</v>
      </c>
    </row>
    <row r="215" ht="13.5" customHeight="1">
      <c r="A215" s="1"/>
      <c r="B215" s="1" t="s">
        <v>46</v>
      </c>
      <c r="C215" s="1" t="s">
        <v>47</v>
      </c>
      <c r="D215" s="1"/>
      <c r="E215" s="1" t="s">
        <v>1188</v>
      </c>
      <c r="F215" s="1"/>
      <c r="G215" s="1" t="s">
        <v>49</v>
      </c>
      <c r="H215" s="1" t="s">
        <v>93</v>
      </c>
      <c r="I215" s="1">
        <v>1100.0</v>
      </c>
      <c r="J215" s="1"/>
      <c r="K215" s="1" t="s">
        <v>51</v>
      </c>
      <c r="L215" s="1"/>
      <c r="M215" s="1" t="s">
        <v>1189</v>
      </c>
      <c r="N215" s="1" t="s">
        <v>108</v>
      </c>
      <c r="O215" s="1" t="s">
        <v>109</v>
      </c>
      <c r="P215" s="2">
        <v>43815.5908564815</v>
      </c>
      <c r="Q215" s="1" t="s">
        <v>373</v>
      </c>
      <c r="R215" s="1"/>
      <c r="S215" s="1"/>
      <c r="T215" s="1">
        <v>2207702.0</v>
      </c>
      <c r="U215" s="1" t="s">
        <v>1190</v>
      </c>
      <c r="V215" s="1" t="s">
        <v>895</v>
      </c>
      <c r="W215" s="1" t="s">
        <v>113</v>
      </c>
      <c r="X215" s="1"/>
      <c r="Y215" s="1"/>
      <c r="Z215" s="1" t="s">
        <v>226</v>
      </c>
      <c r="AA215" s="1" t="s">
        <v>1191</v>
      </c>
      <c r="AB215" s="1" t="str">
        <f>"02803779000109"</f>
        <v>02803779000109</v>
      </c>
      <c r="AC215" s="1"/>
      <c r="AD215" s="1" t="s">
        <v>149</v>
      </c>
      <c r="AE215" s="1"/>
      <c r="AF215" s="1">
        <v>-41.765278</v>
      </c>
      <c r="AG215" s="1">
        <v>-2.9025</v>
      </c>
      <c r="AH215" s="1" t="s">
        <v>1192</v>
      </c>
      <c r="AI215" s="1"/>
      <c r="AJ215" s="1" t="s">
        <v>898</v>
      </c>
      <c r="AK215" s="1"/>
      <c r="AL215" s="1"/>
      <c r="AM215" s="1" t="s">
        <v>65</v>
      </c>
      <c r="AN215" s="1" t="s">
        <v>152</v>
      </c>
      <c r="AO215" s="1"/>
      <c r="AP215" s="2">
        <v>43815.5942939815</v>
      </c>
      <c r="AQ215" s="1"/>
      <c r="AR215" s="1" t="s">
        <v>899</v>
      </c>
      <c r="AS215" s="1"/>
      <c r="AT215" s="2">
        <v>44269.931099537</v>
      </c>
    </row>
    <row r="216" ht="13.5" customHeight="1">
      <c r="A216" s="1"/>
      <c r="B216" s="1" t="s">
        <v>46</v>
      </c>
      <c r="C216" s="1" t="s">
        <v>47</v>
      </c>
      <c r="D216" s="1"/>
      <c r="E216" s="1" t="s">
        <v>1193</v>
      </c>
      <c r="F216" s="1"/>
      <c r="G216" s="1" t="s">
        <v>49</v>
      </c>
      <c r="H216" s="1" t="s">
        <v>93</v>
      </c>
      <c r="I216" s="1">
        <v>1000.0</v>
      </c>
      <c r="J216" s="1"/>
      <c r="K216" s="1"/>
      <c r="L216" s="1"/>
      <c r="M216" s="1" t="s">
        <v>1194</v>
      </c>
      <c r="N216" s="1" t="s">
        <v>95</v>
      </c>
      <c r="O216" s="1" t="s">
        <v>96</v>
      </c>
      <c r="P216" s="2">
        <v>43815.5118055556</v>
      </c>
      <c r="Q216" s="1" t="s">
        <v>55</v>
      </c>
      <c r="R216" s="1"/>
      <c r="S216" s="1"/>
      <c r="T216" s="1">
        <v>1300607.0</v>
      </c>
      <c r="U216" s="1" t="s">
        <v>1127</v>
      </c>
      <c r="V216" s="1" t="s">
        <v>486</v>
      </c>
      <c r="W216" s="1" t="s">
        <v>177</v>
      </c>
      <c r="X216" s="1"/>
      <c r="Y216" s="1"/>
      <c r="Z216" s="1" t="s">
        <v>98</v>
      </c>
      <c r="AA216" s="1" t="s">
        <v>1195</v>
      </c>
      <c r="AB216" s="1" t="str">
        <f>"04243978000135"</f>
        <v>04243978000135</v>
      </c>
      <c r="AC216" s="1"/>
      <c r="AD216" s="1" t="s">
        <v>62</v>
      </c>
      <c r="AE216" s="1"/>
      <c r="AF216" s="1">
        <v>-69.944722</v>
      </c>
      <c r="AG216" s="1">
        <v>-4.233889</v>
      </c>
      <c r="AH216" s="1" t="s">
        <v>1196</v>
      </c>
      <c r="AI216" s="1"/>
      <c r="AJ216" s="1" t="s">
        <v>172</v>
      </c>
      <c r="AK216" s="1"/>
      <c r="AL216" s="1"/>
      <c r="AM216" s="1" t="s">
        <v>65</v>
      </c>
      <c r="AN216" s="1" t="s">
        <v>808</v>
      </c>
      <c r="AO216" s="1"/>
      <c r="AP216" s="2">
        <v>44256.8003009259</v>
      </c>
      <c r="AQ216" s="1"/>
      <c r="AR216" s="1" t="s">
        <v>1197</v>
      </c>
      <c r="AS216" s="1"/>
      <c r="AT216" s="2">
        <v>44269.931099537</v>
      </c>
    </row>
    <row r="217" ht="13.5" customHeight="1">
      <c r="A217" s="1"/>
      <c r="B217" s="1" t="s">
        <v>46</v>
      </c>
      <c r="C217" s="1" t="s">
        <v>47</v>
      </c>
      <c r="D217" s="1"/>
      <c r="E217" s="1" t="s">
        <v>1198</v>
      </c>
      <c r="F217" s="1"/>
      <c r="G217" s="1" t="s">
        <v>49</v>
      </c>
      <c r="H217" s="1" t="s">
        <v>50</v>
      </c>
      <c r="I217" s="1">
        <v>1500.0</v>
      </c>
      <c r="J217" s="1"/>
      <c r="K217" s="1" t="s">
        <v>51</v>
      </c>
      <c r="L217" s="1"/>
      <c r="M217" s="1" t="s">
        <v>1199</v>
      </c>
      <c r="N217" s="1" t="s">
        <v>123</v>
      </c>
      <c r="O217" s="1" t="s">
        <v>73</v>
      </c>
      <c r="P217" s="2">
        <v>43815.4639699074</v>
      </c>
      <c r="Q217" s="1" t="s">
        <v>74</v>
      </c>
      <c r="R217" s="3">
        <v>43815.0</v>
      </c>
      <c r="S217" s="1"/>
      <c r="T217" s="1">
        <v>3513801.0</v>
      </c>
      <c r="U217" s="1" t="s">
        <v>1200</v>
      </c>
      <c r="V217" s="1" t="s">
        <v>58</v>
      </c>
      <c r="W217" s="1" t="s">
        <v>59</v>
      </c>
      <c r="X217" s="1"/>
      <c r="Y217" s="1"/>
      <c r="Z217" s="1" t="s">
        <v>76</v>
      </c>
      <c r="AA217" s="1" t="s">
        <v>1201</v>
      </c>
      <c r="AB217" s="1" t="str">
        <f>"***471755**"</f>
        <v>***471755**</v>
      </c>
      <c r="AC217" s="1"/>
      <c r="AD217" s="1" t="s">
        <v>149</v>
      </c>
      <c r="AE217" s="1"/>
      <c r="AF217" s="1">
        <v>-46.668611</v>
      </c>
      <c r="AG217" s="1">
        <v>-23.559722</v>
      </c>
      <c r="AH217" s="1" t="s">
        <v>1202</v>
      </c>
      <c r="AI217" s="1"/>
      <c r="AJ217" s="1" t="s">
        <v>64</v>
      </c>
      <c r="AK217" s="1"/>
      <c r="AL217" s="1"/>
      <c r="AM217" s="1" t="s">
        <v>65</v>
      </c>
      <c r="AN217" s="1"/>
      <c r="AO217" s="1"/>
      <c r="AP217" s="2">
        <v>44251.8071064815</v>
      </c>
      <c r="AQ217" s="1"/>
      <c r="AR217" s="1" t="s">
        <v>396</v>
      </c>
      <c r="AS217" s="1"/>
      <c r="AT217" s="2">
        <v>44269.931099537</v>
      </c>
    </row>
    <row r="218" ht="13.5" customHeight="1">
      <c r="A218" s="1">
        <v>2038197.0</v>
      </c>
      <c r="B218" s="1" t="s">
        <v>67</v>
      </c>
      <c r="C218" s="1" t="s">
        <v>68</v>
      </c>
      <c r="D218" s="1" t="s">
        <v>46</v>
      </c>
      <c r="E218" s="1" t="s">
        <v>1203</v>
      </c>
      <c r="F218" s="1"/>
      <c r="G218" s="1" t="s">
        <v>70</v>
      </c>
      <c r="H218" s="1" t="s">
        <v>93</v>
      </c>
      <c r="I218" s="1">
        <v>1500.0</v>
      </c>
      <c r="J218" s="1"/>
      <c r="K218" s="1"/>
      <c r="L218" s="1" t="s">
        <v>172</v>
      </c>
      <c r="M218" s="1" t="s">
        <v>1204</v>
      </c>
      <c r="N218" s="1" t="s">
        <v>72</v>
      </c>
      <c r="O218" s="1" t="s">
        <v>73</v>
      </c>
      <c r="P218" s="2">
        <v>43815.4583333333</v>
      </c>
      <c r="Q218" s="1" t="s">
        <v>74</v>
      </c>
      <c r="R218" s="1"/>
      <c r="S218" s="1"/>
      <c r="T218" s="1">
        <v>1506005.0</v>
      </c>
      <c r="U218" s="1" t="s">
        <v>1143</v>
      </c>
      <c r="V218" s="1" t="s">
        <v>193</v>
      </c>
      <c r="W218" s="1" t="s">
        <v>177</v>
      </c>
      <c r="X218" s="1"/>
      <c r="Y218" s="1" t="str">
        <f>"02001036367201903"</f>
        <v>02001036367201903</v>
      </c>
      <c r="Z218" s="1" t="s">
        <v>76</v>
      </c>
      <c r="AA218" s="1" t="s">
        <v>1205</v>
      </c>
      <c r="AB218" s="1" t="str">
        <f>"***860002**"</f>
        <v>***860002**</v>
      </c>
      <c r="AC218" s="1"/>
      <c r="AD218" s="1"/>
      <c r="AE218" s="1"/>
      <c r="AF218" s="1">
        <v>-53.759998</v>
      </c>
      <c r="AG218" s="1">
        <v>-2.758611</v>
      </c>
      <c r="AH218" s="1" t="s">
        <v>1206</v>
      </c>
      <c r="AI218" s="1"/>
      <c r="AJ218" s="1" t="s">
        <v>172</v>
      </c>
      <c r="AK218" s="1"/>
      <c r="AL218" s="1" t="s">
        <v>79</v>
      </c>
      <c r="AM218" s="1" t="s">
        <v>65</v>
      </c>
      <c r="AN218" s="1" t="s">
        <v>1146</v>
      </c>
      <c r="AO218" s="2">
        <v>44026.0</v>
      </c>
      <c r="AP218" s="2">
        <v>44026.8451388889</v>
      </c>
      <c r="AQ218" s="1" t="s">
        <v>80</v>
      </c>
      <c r="AR218" s="1" t="s">
        <v>81</v>
      </c>
      <c r="AS218" s="1"/>
      <c r="AT218" s="2">
        <v>44269.931099537</v>
      </c>
    </row>
    <row r="219" ht="13.5" customHeight="1">
      <c r="A219" s="1"/>
      <c r="B219" s="1" t="s">
        <v>46</v>
      </c>
      <c r="C219" s="1" t="s">
        <v>47</v>
      </c>
      <c r="D219" s="1"/>
      <c r="E219" s="1" t="s">
        <v>1207</v>
      </c>
      <c r="F219" s="1"/>
      <c r="G219" s="1" t="s">
        <v>49</v>
      </c>
      <c r="H219" s="1" t="s">
        <v>93</v>
      </c>
      <c r="I219" s="1">
        <v>26338.17</v>
      </c>
      <c r="J219" s="1"/>
      <c r="K219" s="1"/>
      <c r="L219" s="1"/>
      <c r="M219" s="1" t="s">
        <v>1208</v>
      </c>
      <c r="N219" s="1" t="s">
        <v>142</v>
      </c>
      <c r="O219" s="1" t="s">
        <v>143</v>
      </c>
      <c r="P219" s="2">
        <v>43815.3834259259</v>
      </c>
      <c r="Q219" s="1" t="s">
        <v>55</v>
      </c>
      <c r="R219" s="1"/>
      <c r="S219" s="1"/>
      <c r="T219" s="1">
        <v>1400605.0</v>
      </c>
      <c r="U219" s="1" t="s">
        <v>928</v>
      </c>
      <c r="V219" s="1" t="s">
        <v>186</v>
      </c>
      <c r="W219" s="1" t="s">
        <v>177</v>
      </c>
      <c r="X219" s="1"/>
      <c r="Y219" s="1"/>
      <c r="Z219" s="1" t="s">
        <v>147</v>
      </c>
      <c r="AA219" s="1" t="s">
        <v>1209</v>
      </c>
      <c r="AB219" s="1" t="str">
        <f>"2890156180"</f>
        <v>2890156180</v>
      </c>
      <c r="AC219" s="1"/>
      <c r="AD219" s="1" t="s">
        <v>116</v>
      </c>
      <c r="AE219" s="1"/>
      <c r="AF219" s="1">
        <v>-60.001667</v>
      </c>
      <c r="AG219" s="1">
        <v>1.0025</v>
      </c>
      <c r="AH219" s="1" t="s">
        <v>1210</v>
      </c>
      <c r="AI219" s="1"/>
      <c r="AJ219" s="1" t="s">
        <v>172</v>
      </c>
      <c r="AK219" s="1"/>
      <c r="AL219" s="1"/>
      <c r="AM219" s="1" t="s">
        <v>65</v>
      </c>
      <c r="AN219" s="1" t="s">
        <v>180</v>
      </c>
      <c r="AO219" s="1"/>
      <c r="AP219" s="2">
        <v>44084.5593055556</v>
      </c>
      <c r="AQ219" s="1"/>
      <c r="AR219" s="1" t="s">
        <v>1211</v>
      </c>
      <c r="AS219" s="1"/>
      <c r="AT219" s="2">
        <v>44269.931099537</v>
      </c>
    </row>
    <row r="220" ht="13.5" customHeight="1">
      <c r="A220" s="1">
        <v>2035435.0</v>
      </c>
      <c r="B220" s="1" t="s">
        <v>67</v>
      </c>
      <c r="C220" s="1" t="s">
        <v>68</v>
      </c>
      <c r="D220" s="1" t="s">
        <v>46</v>
      </c>
      <c r="E220" s="1" t="s">
        <v>1212</v>
      </c>
      <c r="F220" s="1"/>
      <c r="G220" s="1" t="s">
        <v>70</v>
      </c>
      <c r="H220" s="1" t="s">
        <v>93</v>
      </c>
      <c r="I220" s="1">
        <v>35000.0</v>
      </c>
      <c r="J220" s="1"/>
      <c r="K220" s="1"/>
      <c r="L220" s="1" t="s">
        <v>371</v>
      </c>
      <c r="M220" s="1" t="s">
        <v>1213</v>
      </c>
      <c r="N220" s="1" t="s">
        <v>142</v>
      </c>
      <c r="O220" s="1" t="s">
        <v>143</v>
      </c>
      <c r="P220" s="2">
        <v>43815.3333333333</v>
      </c>
      <c r="Q220" s="1" t="s">
        <v>74</v>
      </c>
      <c r="R220" s="3">
        <v>43881.0</v>
      </c>
      <c r="S220" s="1"/>
      <c r="T220" s="1">
        <v>5205802.0</v>
      </c>
      <c r="U220" s="1" t="s">
        <v>1214</v>
      </c>
      <c r="V220" s="1" t="s">
        <v>375</v>
      </c>
      <c r="W220" s="1" t="s">
        <v>127</v>
      </c>
      <c r="X220" s="1"/>
      <c r="Y220" s="1" t="str">
        <f>"02010000223202035"</f>
        <v>02010000223202035</v>
      </c>
      <c r="Z220" s="1" t="s">
        <v>147</v>
      </c>
      <c r="AA220" s="1" t="s">
        <v>1215</v>
      </c>
      <c r="AB220" s="1" t="str">
        <f>"***790043**"</f>
        <v>***790043**</v>
      </c>
      <c r="AC220" s="1"/>
      <c r="AD220" s="1" t="s">
        <v>116</v>
      </c>
      <c r="AE220" s="1"/>
      <c r="AF220" s="1">
        <v>-48.660556</v>
      </c>
      <c r="AG220" s="1">
        <v>-16.051944</v>
      </c>
      <c r="AH220" s="1" t="s">
        <v>1216</v>
      </c>
      <c r="AI220" s="1"/>
      <c r="AJ220" s="1" t="s">
        <v>371</v>
      </c>
      <c r="AK220" s="1"/>
      <c r="AL220" s="1" t="s">
        <v>118</v>
      </c>
      <c r="AM220" s="1" t="s">
        <v>65</v>
      </c>
      <c r="AN220" s="1" t="s">
        <v>378</v>
      </c>
      <c r="AO220" s="2">
        <v>43903.0</v>
      </c>
      <c r="AP220" s="2">
        <v>44062.5999305556</v>
      </c>
      <c r="AQ220" s="1" t="s">
        <v>80</v>
      </c>
      <c r="AR220" s="1" t="s">
        <v>451</v>
      </c>
      <c r="AS220" s="1"/>
      <c r="AT220" s="2">
        <v>44269.931099537</v>
      </c>
    </row>
    <row r="221" ht="13.5" customHeight="1">
      <c r="A221" s="1">
        <v>2037715.0</v>
      </c>
      <c r="B221" s="1" t="s">
        <v>67</v>
      </c>
      <c r="C221" s="1" t="s">
        <v>68</v>
      </c>
      <c r="D221" s="1" t="s">
        <v>46</v>
      </c>
      <c r="E221" s="1" t="s">
        <v>1217</v>
      </c>
      <c r="F221" s="1"/>
      <c r="G221" s="1" t="s">
        <v>70</v>
      </c>
      <c r="H221" s="1" t="s">
        <v>93</v>
      </c>
      <c r="I221" s="1">
        <v>801.0</v>
      </c>
      <c r="J221" s="1"/>
      <c r="K221" s="1"/>
      <c r="L221" s="1" t="s">
        <v>800</v>
      </c>
      <c r="M221" s="1" t="s">
        <v>1218</v>
      </c>
      <c r="N221" s="1" t="s">
        <v>142</v>
      </c>
      <c r="O221" s="1" t="s">
        <v>143</v>
      </c>
      <c r="P221" s="2">
        <v>43814.625</v>
      </c>
      <c r="Q221" s="1" t="s">
        <v>373</v>
      </c>
      <c r="R221" s="3">
        <v>43814.0</v>
      </c>
      <c r="S221" s="1"/>
      <c r="T221" s="1">
        <v>1600501.0</v>
      </c>
      <c r="U221" s="1" t="s">
        <v>1005</v>
      </c>
      <c r="V221" s="1" t="s">
        <v>797</v>
      </c>
      <c r="W221" s="1" t="s">
        <v>177</v>
      </c>
      <c r="X221" s="1"/>
      <c r="Y221" s="1" t="str">
        <f>"02004000797202092"</f>
        <v>02004000797202092</v>
      </c>
      <c r="Z221" s="1" t="s">
        <v>147</v>
      </c>
      <c r="AA221" s="1" t="s">
        <v>1219</v>
      </c>
      <c r="AB221" s="1" t="str">
        <f>"***871262**"</f>
        <v>***871262**</v>
      </c>
      <c r="AC221" s="1"/>
      <c r="AD221" s="1"/>
      <c r="AE221" s="1"/>
      <c r="AF221" s="1">
        <v>-51.891388</v>
      </c>
      <c r="AG221" s="1">
        <v>3.955278</v>
      </c>
      <c r="AH221" s="1" t="s">
        <v>1220</v>
      </c>
      <c r="AI221" s="1"/>
      <c r="AJ221" s="1" t="s">
        <v>800</v>
      </c>
      <c r="AK221" s="1"/>
      <c r="AL221" s="1" t="s">
        <v>79</v>
      </c>
      <c r="AM221" s="1" t="s">
        <v>65</v>
      </c>
      <c r="AN221" s="1" t="s">
        <v>1008</v>
      </c>
      <c r="AO221" s="2">
        <v>44007.0</v>
      </c>
      <c r="AP221" s="2">
        <v>44007.8496180556</v>
      </c>
      <c r="AQ221" s="1" t="s">
        <v>80</v>
      </c>
      <c r="AR221" s="1" t="s">
        <v>181</v>
      </c>
      <c r="AS221" s="1"/>
      <c r="AT221" s="2">
        <v>44269.931099537</v>
      </c>
    </row>
    <row r="222" ht="13.5" customHeight="1">
      <c r="A222" s="1"/>
      <c r="B222" s="1" t="s">
        <v>46</v>
      </c>
      <c r="C222" s="1" t="s">
        <v>47</v>
      </c>
      <c r="D222" s="1"/>
      <c r="E222" s="1" t="s">
        <v>1221</v>
      </c>
      <c r="F222" s="1"/>
      <c r="G222" s="1" t="s">
        <v>49</v>
      </c>
      <c r="H222" s="1" t="s">
        <v>93</v>
      </c>
      <c r="I222" s="1">
        <v>1000.0</v>
      </c>
      <c r="J222" s="1"/>
      <c r="K222" s="1"/>
      <c r="L222" s="1"/>
      <c r="M222" s="1" t="s">
        <v>1222</v>
      </c>
      <c r="N222" s="1" t="s">
        <v>95</v>
      </c>
      <c r="O222" s="1" t="s">
        <v>96</v>
      </c>
      <c r="P222" s="2">
        <v>43814.5338541667</v>
      </c>
      <c r="Q222" s="1" t="s">
        <v>373</v>
      </c>
      <c r="R222" s="1"/>
      <c r="S222" s="1"/>
      <c r="T222" s="1">
        <v>2504009.0</v>
      </c>
      <c r="U222" s="1" t="s">
        <v>727</v>
      </c>
      <c r="V222" s="1" t="s">
        <v>728</v>
      </c>
      <c r="W222" s="1" t="s">
        <v>113</v>
      </c>
      <c r="X222" s="1"/>
      <c r="Y222" s="1"/>
      <c r="Z222" s="1" t="s">
        <v>98</v>
      </c>
      <c r="AA222" s="1" t="s">
        <v>1223</v>
      </c>
      <c r="AB222" s="1" t="str">
        <f>"***331554**"</f>
        <v>***331554**</v>
      </c>
      <c r="AC222" s="1"/>
      <c r="AD222" s="1" t="s">
        <v>62</v>
      </c>
      <c r="AE222" s="1"/>
      <c r="AF222" s="1">
        <v>-36.010559</v>
      </c>
      <c r="AG222" s="1">
        <v>-7.226667</v>
      </c>
      <c r="AH222" s="1" t="s">
        <v>1224</v>
      </c>
      <c r="AI222" s="1"/>
      <c r="AJ222" s="1" t="s">
        <v>731</v>
      </c>
      <c r="AK222" s="1"/>
      <c r="AL222" s="1"/>
      <c r="AM222" s="1" t="s">
        <v>65</v>
      </c>
      <c r="AN222" s="1" t="s">
        <v>940</v>
      </c>
      <c r="AO222" s="1"/>
      <c r="AP222" s="2">
        <v>43814.5456712963</v>
      </c>
      <c r="AQ222" s="1"/>
      <c r="AR222" s="1" t="s">
        <v>1225</v>
      </c>
      <c r="AS222" s="1"/>
      <c r="AT222" s="2">
        <v>44269.931099537</v>
      </c>
    </row>
    <row r="223" ht="13.5" customHeight="1">
      <c r="A223" s="1"/>
      <c r="B223" s="1" t="s">
        <v>46</v>
      </c>
      <c r="C223" s="1" t="s">
        <v>47</v>
      </c>
      <c r="D223" s="1"/>
      <c r="E223" s="1" t="s">
        <v>1226</v>
      </c>
      <c r="F223" s="1"/>
      <c r="G223" s="1" t="s">
        <v>49</v>
      </c>
      <c r="H223" s="1" t="s">
        <v>93</v>
      </c>
      <c r="I223" s="1">
        <v>1000.0</v>
      </c>
      <c r="J223" s="1"/>
      <c r="K223" s="1"/>
      <c r="L223" s="1"/>
      <c r="M223" s="1" t="s">
        <v>1227</v>
      </c>
      <c r="N223" s="1" t="s">
        <v>95</v>
      </c>
      <c r="O223" s="1" t="s">
        <v>96</v>
      </c>
      <c r="P223" s="2">
        <v>43814.4834259259</v>
      </c>
      <c r="Q223" s="1" t="s">
        <v>373</v>
      </c>
      <c r="R223" s="1"/>
      <c r="S223" s="1"/>
      <c r="T223" s="1">
        <v>2504009.0</v>
      </c>
      <c r="U223" s="1" t="s">
        <v>727</v>
      </c>
      <c r="V223" s="1" t="s">
        <v>728</v>
      </c>
      <c r="W223" s="1" t="s">
        <v>113</v>
      </c>
      <c r="X223" s="1"/>
      <c r="Y223" s="1"/>
      <c r="Z223" s="1" t="s">
        <v>98</v>
      </c>
      <c r="AA223" s="1" t="s">
        <v>1228</v>
      </c>
      <c r="AB223" s="1" t="str">
        <f>"***429194**"</f>
        <v>***429194**</v>
      </c>
      <c r="AC223" s="1"/>
      <c r="AD223" s="1" t="s">
        <v>62</v>
      </c>
      <c r="AE223" s="1"/>
      <c r="AF223" s="1">
        <v>-36.010559</v>
      </c>
      <c r="AG223" s="1">
        <v>-7.226667</v>
      </c>
      <c r="AH223" s="1" t="s">
        <v>1229</v>
      </c>
      <c r="AI223" s="1"/>
      <c r="AJ223" s="1" t="s">
        <v>731</v>
      </c>
      <c r="AK223" s="1"/>
      <c r="AL223" s="1"/>
      <c r="AM223" s="1" t="s">
        <v>65</v>
      </c>
      <c r="AN223" s="1" t="s">
        <v>940</v>
      </c>
      <c r="AO223" s="1"/>
      <c r="AP223" s="2">
        <v>43814.5180439815</v>
      </c>
      <c r="AQ223" s="1"/>
      <c r="AR223" s="1" t="s">
        <v>1230</v>
      </c>
      <c r="AS223" s="1"/>
      <c r="AT223" s="2">
        <v>44269.931099537</v>
      </c>
    </row>
    <row r="224" ht="13.5" customHeight="1">
      <c r="A224" s="1"/>
      <c r="B224" s="1" t="s">
        <v>46</v>
      </c>
      <c r="C224" s="1" t="s">
        <v>47</v>
      </c>
      <c r="D224" s="1"/>
      <c r="E224" s="1" t="s">
        <v>1231</v>
      </c>
      <c r="F224" s="1"/>
      <c r="G224" s="1" t="s">
        <v>49</v>
      </c>
      <c r="H224" s="1" t="s">
        <v>93</v>
      </c>
      <c r="I224" s="1">
        <v>2000.0</v>
      </c>
      <c r="J224" s="1"/>
      <c r="K224" s="1"/>
      <c r="L224" s="1"/>
      <c r="M224" s="1" t="s">
        <v>1232</v>
      </c>
      <c r="N224" s="1" t="s">
        <v>95</v>
      </c>
      <c r="O224" s="1" t="s">
        <v>96</v>
      </c>
      <c r="P224" s="2">
        <v>43814.4788657407</v>
      </c>
      <c r="Q224" s="1" t="s">
        <v>373</v>
      </c>
      <c r="R224" s="1"/>
      <c r="S224" s="1"/>
      <c r="T224" s="1">
        <v>2504009.0</v>
      </c>
      <c r="U224" s="1" t="s">
        <v>727</v>
      </c>
      <c r="V224" s="1" t="s">
        <v>728</v>
      </c>
      <c r="W224" s="1" t="s">
        <v>113</v>
      </c>
      <c r="X224" s="1"/>
      <c r="Y224" s="1"/>
      <c r="Z224" s="1" t="s">
        <v>98</v>
      </c>
      <c r="AA224" s="1" t="s">
        <v>1233</v>
      </c>
      <c r="AB224" s="1" t="str">
        <f>"***547804**"</f>
        <v>***547804**</v>
      </c>
      <c r="AC224" s="1"/>
      <c r="AD224" s="1" t="s">
        <v>62</v>
      </c>
      <c r="AE224" s="1"/>
      <c r="AF224" s="1">
        <v>-36.010559</v>
      </c>
      <c r="AG224" s="1">
        <v>-7.226667</v>
      </c>
      <c r="AH224" s="1" t="s">
        <v>1224</v>
      </c>
      <c r="AI224" s="1"/>
      <c r="AJ224" s="1" t="s">
        <v>731</v>
      </c>
      <c r="AK224" s="1"/>
      <c r="AL224" s="1"/>
      <c r="AM224" s="1" t="s">
        <v>65</v>
      </c>
      <c r="AN224" s="1" t="s">
        <v>940</v>
      </c>
      <c r="AO224" s="1"/>
      <c r="AP224" s="2">
        <v>43814.5130902778</v>
      </c>
      <c r="AQ224" s="1"/>
      <c r="AR224" s="1" t="s">
        <v>1225</v>
      </c>
      <c r="AS224" s="1"/>
      <c r="AT224" s="2">
        <v>44269.931099537</v>
      </c>
    </row>
    <row r="225" ht="13.5" customHeight="1">
      <c r="A225" s="1">
        <v>2037654.0</v>
      </c>
      <c r="B225" s="1" t="s">
        <v>67</v>
      </c>
      <c r="C225" s="1" t="s">
        <v>68</v>
      </c>
      <c r="D225" s="1" t="s">
        <v>46</v>
      </c>
      <c r="E225" s="1" t="s">
        <v>1234</v>
      </c>
      <c r="F225" s="1"/>
      <c r="G225" s="1" t="s">
        <v>70</v>
      </c>
      <c r="H225" s="1" t="s">
        <v>93</v>
      </c>
      <c r="I225" s="1">
        <v>15000.0</v>
      </c>
      <c r="J225" s="1"/>
      <c r="K225" s="1"/>
      <c r="L225" s="1" t="s">
        <v>731</v>
      </c>
      <c r="M225" s="1" t="s">
        <v>1235</v>
      </c>
      <c r="N225" s="1" t="s">
        <v>95</v>
      </c>
      <c r="O225" s="1" t="s">
        <v>96</v>
      </c>
      <c r="P225" s="2">
        <v>43814.375</v>
      </c>
      <c r="Q225" s="1" t="s">
        <v>373</v>
      </c>
      <c r="R225" s="3">
        <v>43814.0</v>
      </c>
      <c r="S225" s="1"/>
      <c r="T225" s="1">
        <v>2504009.0</v>
      </c>
      <c r="U225" s="1" t="s">
        <v>727</v>
      </c>
      <c r="V225" s="1" t="s">
        <v>728</v>
      </c>
      <c r="W225" s="1" t="s">
        <v>113</v>
      </c>
      <c r="X225" s="1"/>
      <c r="Y225" s="1" t="str">
        <f>"02016000114202068"</f>
        <v>02016000114202068</v>
      </c>
      <c r="Z225" s="1" t="s">
        <v>98</v>
      </c>
      <c r="AA225" s="1" t="s">
        <v>1236</v>
      </c>
      <c r="AB225" s="1" t="str">
        <f>"***388374**"</f>
        <v>***388374**</v>
      </c>
      <c r="AC225" s="1"/>
      <c r="AD225" s="1"/>
      <c r="AE225" s="1"/>
      <c r="AF225" s="1">
        <v>-36.009167</v>
      </c>
      <c r="AG225" s="1">
        <v>-7.325556</v>
      </c>
      <c r="AH225" s="1" t="s">
        <v>1237</v>
      </c>
      <c r="AI225" s="1"/>
      <c r="AJ225" s="1" t="s">
        <v>731</v>
      </c>
      <c r="AK225" s="1"/>
      <c r="AL225" s="1" t="s">
        <v>79</v>
      </c>
      <c r="AM225" s="1" t="s">
        <v>65</v>
      </c>
      <c r="AN225" s="1" t="s">
        <v>940</v>
      </c>
      <c r="AO225" s="2">
        <v>44005.0</v>
      </c>
      <c r="AP225" s="2">
        <v>44005.4695949074</v>
      </c>
      <c r="AQ225" s="1" t="s">
        <v>80</v>
      </c>
      <c r="AR225" s="1" t="s">
        <v>1238</v>
      </c>
      <c r="AS225" s="1" t="s">
        <v>1239</v>
      </c>
      <c r="AT225" s="2">
        <v>44269.931099537</v>
      </c>
    </row>
    <row r="226" ht="13.5" customHeight="1">
      <c r="A226" s="1">
        <v>2034592.0</v>
      </c>
      <c r="B226" s="1" t="s">
        <v>67</v>
      </c>
      <c r="C226" s="1" t="s">
        <v>68</v>
      </c>
      <c r="D226" s="1" t="s">
        <v>46</v>
      </c>
      <c r="E226" s="1" t="s">
        <v>1240</v>
      </c>
      <c r="F226" s="1"/>
      <c r="G226" s="1" t="s">
        <v>70</v>
      </c>
      <c r="H226" s="1" t="s">
        <v>93</v>
      </c>
      <c r="I226" s="1">
        <v>2000.0</v>
      </c>
      <c r="J226" s="1"/>
      <c r="K226" s="1"/>
      <c r="L226" s="1" t="s">
        <v>731</v>
      </c>
      <c r="M226" s="1" t="s">
        <v>1241</v>
      </c>
      <c r="N226" s="1" t="s">
        <v>95</v>
      </c>
      <c r="O226" s="1" t="s">
        <v>96</v>
      </c>
      <c r="P226" s="2">
        <v>43814.25</v>
      </c>
      <c r="Q226" s="1" t="s">
        <v>373</v>
      </c>
      <c r="R226" s="3">
        <v>43814.0</v>
      </c>
      <c r="S226" s="1"/>
      <c r="T226" s="1">
        <v>2504009.0</v>
      </c>
      <c r="U226" s="1" t="s">
        <v>727</v>
      </c>
      <c r="V226" s="1" t="s">
        <v>728</v>
      </c>
      <c r="W226" s="1" t="s">
        <v>113</v>
      </c>
      <c r="X226" s="1"/>
      <c r="Y226" s="1" t="str">
        <f>"02016000463202080"</f>
        <v>02016000463202080</v>
      </c>
      <c r="Z226" s="1" t="s">
        <v>98</v>
      </c>
      <c r="AA226" s="1" t="s">
        <v>1242</v>
      </c>
      <c r="AB226" s="1" t="str">
        <f>"***584204**"</f>
        <v>***584204**</v>
      </c>
      <c r="AC226" s="1"/>
      <c r="AD226" s="1"/>
      <c r="AE226" s="1"/>
      <c r="AF226" s="1">
        <v>-36.010281</v>
      </c>
      <c r="AG226" s="1">
        <v>-7.226944</v>
      </c>
      <c r="AH226" s="1" t="s">
        <v>1243</v>
      </c>
      <c r="AI226" s="1"/>
      <c r="AJ226" s="1" t="s">
        <v>731</v>
      </c>
      <c r="AK226" s="1"/>
      <c r="AL226" s="1" t="s">
        <v>79</v>
      </c>
      <c r="AM226" s="1" t="s">
        <v>65</v>
      </c>
      <c r="AN226" s="1" t="s">
        <v>940</v>
      </c>
      <c r="AO226" s="2">
        <v>43889.0</v>
      </c>
      <c r="AP226" s="2">
        <v>43889.305</v>
      </c>
      <c r="AQ226" s="1" t="s">
        <v>80</v>
      </c>
      <c r="AR226" s="1" t="s">
        <v>1244</v>
      </c>
      <c r="AS226" s="1"/>
      <c r="AT226" s="2">
        <v>44269.931099537</v>
      </c>
    </row>
    <row r="227" ht="13.5" customHeight="1">
      <c r="A227" s="1">
        <v>2035241.0</v>
      </c>
      <c r="B227" s="1" t="s">
        <v>67</v>
      </c>
      <c r="C227" s="1" t="s">
        <v>68</v>
      </c>
      <c r="D227" s="1" t="s">
        <v>46</v>
      </c>
      <c r="E227" s="1" t="s">
        <v>1245</v>
      </c>
      <c r="F227" s="1"/>
      <c r="G227" s="1" t="s">
        <v>70</v>
      </c>
      <c r="H227" s="1" t="s">
        <v>93</v>
      </c>
      <c r="I227" s="1">
        <v>3000.0</v>
      </c>
      <c r="J227" s="1"/>
      <c r="K227" s="1"/>
      <c r="L227" s="1" t="s">
        <v>731</v>
      </c>
      <c r="M227" s="1" t="s">
        <v>1246</v>
      </c>
      <c r="N227" s="1" t="s">
        <v>95</v>
      </c>
      <c r="O227" s="1" t="s">
        <v>96</v>
      </c>
      <c r="P227" s="2">
        <v>43814.25</v>
      </c>
      <c r="Q227" s="1" t="s">
        <v>373</v>
      </c>
      <c r="R227" s="3">
        <v>43814.0</v>
      </c>
      <c r="S227" s="1"/>
      <c r="T227" s="1">
        <v>2504009.0</v>
      </c>
      <c r="U227" s="1" t="s">
        <v>727</v>
      </c>
      <c r="V227" s="1" t="s">
        <v>728</v>
      </c>
      <c r="W227" s="1" t="s">
        <v>113</v>
      </c>
      <c r="X227" s="1"/>
      <c r="Y227" s="1" t="str">
        <f>"02016000634202071"</f>
        <v>02016000634202071</v>
      </c>
      <c r="Z227" s="1" t="s">
        <v>98</v>
      </c>
      <c r="AA227" s="1" t="s">
        <v>1247</v>
      </c>
      <c r="AB227" s="1" t="str">
        <f>"***721534**"</f>
        <v>***721534**</v>
      </c>
      <c r="AC227" s="1"/>
      <c r="AD227" s="1"/>
      <c r="AE227" s="1"/>
      <c r="AF227" s="1">
        <v>-36.010559</v>
      </c>
      <c r="AG227" s="1">
        <v>-7.226667</v>
      </c>
      <c r="AH227" s="1" t="s">
        <v>1248</v>
      </c>
      <c r="AI227" s="1"/>
      <c r="AJ227" s="1" t="s">
        <v>731</v>
      </c>
      <c r="AK227" s="1"/>
      <c r="AL227" s="1" t="s">
        <v>79</v>
      </c>
      <c r="AM227" s="1" t="s">
        <v>65</v>
      </c>
      <c r="AN227" s="1" t="s">
        <v>940</v>
      </c>
      <c r="AO227" s="2">
        <v>43899.0</v>
      </c>
      <c r="AP227" s="2">
        <v>43899.4556944444</v>
      </c>
      <c r="AQ227" s="1" t="s">
        <v>80</v>
      </c>
      <c r="AR227" s="1" t="s">
        <v>1238</v>
      </c>
      <c r="AS227" s="1" t="s">
        <v>1249</v>
      </c>
      <c r="AT227" s="2">
        <v>44269.931099537</v>
      </c>
    </row>
    <row r="228" ht="13.5" customHeight="1">
      <c r="A228" s="1">
        <v>2034966.0</v>
      </c>
      <c r="B228" s="1" t="s">
        <v>67</v>
      </c>
      <c r="C228" s="1" t="s">
        <v>68</v>
      </c>
      <c r="D228" s="1" t="s">
        <v>46</v>
      </c>
      <c r="E228" s="1" t="s">
        <v>1250</v>
      </c>
      <c r="F228" s="1"/>
      <c r="G228" s="1" t="s">
        <v>70</v>
      </c>
      <c r="H228" s="1" t="s">
        <v>93</v>
      </c>
      <c r="I228" s="1">
        <v>5000.0</v>
      </c>
      <c r="J228" s="1"/>
      <c r="K228" s="1"/>
      <c r="L228" s="1" t="s">
        <v>1251</v>
      </c>
      <c r="M228" s="1" t="s">
        <v>1252</v>
      </c>
      <c r="N228" s="1" t="s">
        <v>95</v>
      </c>
      <c r="O228" s="1" t="s">
        <v>96</v>
      </c>
      <c r="P228" s="2">
        <v>43814.0416666667</v>
      </c>
      <c r="Q228" s="1" t="s">
        <v>74</v>
      </c>
      <c r="R228" s="3">
        <v>43814.0</v>
      </c>
      <c r="S228" s="1"/>
      <c r="T228" s="1">
        <v>2704302.0</v>
      </c>
      <c r="U228" s="1" t="s">
        <v>1253</v>
      </c>
      <c r="V228" s="1" t="s">
        <v>1254</v>
      </c>
      <c r="W228" s="1" t="s">
        <v>59</v>
      </c>
      <c r="X228" s="1"/>
      <c r="Y228" s="1" t="str">
        <f>"02003003180201903"</f>
        <v>02003003180201903</v>
      </c>
      <c r="Z228" s="1" t="s">
        <v>98</v>
      </c>
      <c r="AA228" s="1" t="s">
        <v>1255</v>
      </c>
      <c r="AB228" s="1" t="str">
        <f>"***319504**"</f>
        <v>***319504**</v>
      </c>
      <c r="AC228" s="1"/>
      <c r="AD228" s="1"/>
      <c r="AE228" s="1"/>
      <c r="AF228" s="1">
        <v>-35.727222</v>
      </c>
      <c r="AG228" s="1">
        <v>-9.630834</v>
      </c>
      <c r="AH228" s="1" t="s">
        <v>1256</v>
      </c>
      <c r="AI228" s="1"/>
      <c r="AJ228" s="1" t="s">
        <v>1251</v>
      </c>
      <c r="AK228" s="1"/>
      <c r="AL228" s="1" t="s">
        <v>79</v>
      </c>
      <c r="AM228" s="1" t="s">
        <v>65</v>
      </c>
      <c r="AN228" s="1" t="s">
        <v>1257</v>
      </c>
      <c r="AO228" s="2">
        <v>43893.0</v>
      </c>
      <c r="AP228" s="2">
        <v>43893.3828703704</v>
      </c>
      <c r="AQ228" s="1" t="s">
        <v>80</v>
      </c>
      <c r="AR228" s="1" t="s">
        <v>1258</v>
      </c>
      <c r="AS228" s="1"/>
      <c r="AT228" s="2">
        <v>44269.931099537</v>
      </c>
    </row>
    <row r="229" ht="13.5" customHeight="1">
      <c r="A229" s="1"/>
      <c r="B229" s="1" t="s">
        <v>46</v>
      </c>
      <c r="C229" s="1" t="s">
        <v>47</v>
      </c>
      <c r="D229" s="1"/>
      <c r="E229" s="1" t="s">
        <v>1259</v>
      </c>
      <c r="F229" s="1"/>
      <c r="G229" s="1" t="s">
        <v>49</v>
      </c>
      <c r="H229" s="1" t="s">
        <v>93</v>
      </c>
      <c r="I229" s="1">
        <v>12300.0</v>
      </c>
      <c r="J229" s="1"/>
      <c r="K229" s="1"/>
      <c r="L229" s="1"/>
      <c r="M229" s="1" t="s">
        <v>1260</v>
      </c>
      <c r="N229" s="1" t="s">
        <v>142</v>
      </c>
      <c r="O229" s="1" t="s">
        <v>143</v>
      </c>
      <c r="P229" s="2">
        <v>43813.6560648148</v>
      </c>
      <c r="Q229" s="1" t="s">
        <v>74</v>
      </c>
      <c r="R229" s="1"/>
      <c r="S229" s="1"/>
      <c r="T229" s="1">
        <v>5104609.0</v>
      </c>
      <c r="U229" s="1" t="s">
        <v>1261</v>
      </c>
      <c r="V229" s="1" t="s">
        <v>164</v>
      </c>
      <c r="W229" s="1" t="s">
        <v>127</v>
      </c>
      <c r="X229" s="1"/>
      <c r="Y229" s="1"/>
      <c r="Z229" s="1" t="s">
        <v>147</v>
      </c>
      <c r="AA229" s="1" t="s">
        <v>1262</v>
      </c>
      <c r="AB229" s="1" t="str">
        <f>"04110536000110"</f>
        <v>04110536000110</v>
      </c>
      <c r="AC229" s="1"/>
      <c r="AD229" s="1" t="s">
        <v>149</v>
      </c>
      <c r="AE229" s="1"/>
      <c r="AF229" s="1">
        <v>-54.170002</v>
      </c>
      <c r="AG229" s="1">
        <v>-16.82111</v>
      </c>
      <c r="AH229" s="1" t="s">
        <v>1263</v>
      </c>
      <c r="AI229" s="1"/>
      <c r="AJ229" s="1" t="s">
        <v>167</v>
      </c>
      <c r="AK229" s="1"/>
      <c r="AL229" s="1"/>
      <c r="AM229" s="1" t="s">
        <v>65</v>
      </c>
      <c r="AN229" s="1" t="s">
        <v>168</v>
      </c>
      <c r="AO229" s="1"/>
      <c r="AP229" s="2">
        <v>43813.6679976852</v>
      </c>
      <c r="AQ229" s="1"/>
      <c r="AR229" s="1" t="s">
        <v>613</v>
      </c>
      <c r="AS229" s="1"/>
      <c r="AT229" s="2">
        <v>44269.931099537</v>
      </c>
    </row>
    <row r="230" ht="13.5" customHeight="1">
      <c r="A230" s="1">
        <v>2035480.0</v>
      </c>
      <c r="B230" s="1" t="s">
        <v>67</v>
      </c>
      <c r="C230" s="1" t="s">
        <v>68</v>
      </c>
      <c r="D230" s="1" t="s">
        <v>46</v>
      </c>
      <c r="E230" s="1" t="s">
        <v>1264</v>
      </c>
      <c r="F230" s="1"/>
      <c r="G230" s="1" t="s">
        <v>70</v>
      </c>
      <c r="H230" s="1" t="s">
        <v>93</v>
      </c>
      <c r="I230" s="1">
        <v>1000.0</v>
      </c>
      <c r="J230" s="1"/>
      <c r="K230" s="1"/>
      <c r="L230" s="1" t="s">
        <v>106</v>
      </c>
      <c r="M230" s="1" t="s">
        <v>1265</v>
      </c>
      <c r="N230" s="1" t="s">
        <v>95</v>
      </c>
      <c r="O230" s="1"/>
      <c r="P230" s="2">
        <v>43813.5548611111</v>
      </c>
      <c r="Q230" s="1" t="s">
        <v>373</v>
      </c>
      <c r="R230" s="1"/>
      <c r="S230" s="1"/>
      <c r="T230" s="1">
        <v>2313302.0</v>
      </c>
      <c r="U230" s="1" t="s">
        <v>1266</v>
      </c>
      <c r="V230" s="1" t="s">
        <v>112</v>
      </c>
      <c r="W230" s="1" t="s">
        <v>113</v>
      </c>
      <c r="X230" s="1"/>
      <c r="Y230" s="1" t="str">
        <f>"02007000090202056"</f>
        <v>02007000090202056</v>
      </c>
      <c r="Z230" s="1" t="s">
        <v>1267</v>
      </c>
      <c r="AA230" s="1" t="s">
        <v>1268</v>
      </c>
      <c r="AB230" s="1" t="str">
        <f>"***072463**"</f>
        <v>***072463**</v>
      </c>
      <c r="AC230" s="1"/>
      <c r="AD230" s="1" t="s">
        <v>116</v>
      </c>
      <c r="AE230" s="1"/>
      <c r="AF230" s="1">
        <v>0.0</v>
      </c>
      <c r="AG230" s="1">
        <v>0.0</v>
      </c>
      <c r="AH230" s="1" t="s">
        <v>1269</v>
      </c>
      <c r="AI230" s="1"/>
      <c r="AJ230" s="1"/>
      <c r="AK230" s="1"/>
      <c r="AL230" s="1" t="s">
        <v>118</v>
      </c>
      <c r="AM230" s="1"/>
      <c r="AN230" s="1"/>
      <c r="AO230" s="2">
        <v>43906.4822685185</v>
      </c>
      <c r="AP230" s="2">
        <v>43906.4822685185</v>
      </c>
      <c r="AQ230" s="1" t="s">
        <v>80</v>
      </c>
      <c r="AR230" s="1" t="s">
        <v>1270</v>
      </c>
      <c r="AS230" s="1"/>
      <c r="AT230" s="2">
        <v>44269.931099537</v>
      </c>
    </row>
    <row r="231" ht="13.5" customHeight="1">
      <c r="A231" s="1">
        <v>2035482.0</v>
      </c>
      <c r="B231" s="1" t="s">
        <v>67</v>
      </c>
      <c r="C231" s="1" t="s">
        <v>68</v>
      </c>
      <c r="D231" s="1" t="s">
        <v>46</v>
      </c>
      <c r="E231" s="1" t="s">
        <v>1271</v>
      </c>
      <c r="F231" s="1"/>
      <c r="G231" s="1" t="s">
        <v>70</v>
      </c>
      <c r="H231" s="1" t="s">
        <v>93</v>
      </c>
      <c r="I231" s="1">
        <v>500.0</v>
      </c>
      <c r="J231" s="1"/>
      <c r="K231" s="1"/>
      <c r="L231" s="1" t="s">
        <v>106</v>
      </c>
      <c r="M231" s="1" t="s">
        <v>1272</v>
      </c>
      <c r="N231" s="1" t="s">
        <v>95</v>
      </c>
      <c r="O231" s="1"/>
      <c r="P231" s="2">
        <v>43813.5465277778</v>
      </c>
      <c r="Q231" s="1" t="s">
        <v>373</v>
      </c>
      <c r="R231" s="1"/>
      <c r="S231" s="1"/>
      <c r="T231" s="1">
        <v>2313302.0</v>
      </c>
      <c r="U231" s="1" t="s">
        <v>1266</v>
      </c>
      <c r="V231" s="1" t="s">
        <v>112</v>
      </c>
      <c r="W231" s="1" t="s">
        <v>113</v>
      </c>
      <c r="X231" s="1"/>
      <c r="Y231" s="1" t="str">
        <f>"02007000082202018"</f>
        <v>02007000082202018</v>
      </c>
      <c r="Z231" s="1" t="s">
        <v>1267</v>
      </c>
      <c r="AA231" s="1" t="s">
        <v>1273</v>
      </c>
      <c r="AB231" s="1" t="str">
        <f>"***665873**"</f>
        <v>***665873**</v>
      </c>
      <c r="AC231" s="1"/>
      <c r="AD231" s="1" t="s">
        <v>116</v>
      </c>
      <c r="AE231" s="1"/>
      <c r="AF231" s="1">
        <v>0.0</v>
      </c>
      <c r="AG231" s="1">
        <v>0.0</v>
      </c>
      <c r="AH231" s="1" t="s">
        <v>1269</v>
      </c>
      <c r="AI231" s="1"/>
      <c r="AJ231" s="1"/>
      <c r="AK231" s="1"/>
      <c r="AL231" s="1" t="s">
        <v>118</v>
      </c>
      <c r="AM231" s="1"/>
      <c r="AN231" s="1"/>
      <c r="AO231" s="2">
        <v>43906.596412037</v>
      </c>
      <c r="AP231" s="2">
        <v>43906.596412037</v>
      </c>
      <c r="AQ231" s="1" t="s">
        <v>80</v>
      </c>
      <c r="AR231" s="1" t="s">
        <v>1270</v>
      </c>
      <c r="AS231" s="1"/>
      <c r="AT231" s="2">
        <v>44269.931099537</v>
      </c>
    </row>
    <row r="232" ht="13.5" customHeight="1">
      <c r="A232" s="1"/>
      <c r="B232" s="1" t="s">
        <v>46</v>
      </c>
      <c r="C232" s="1" t="s">
        <v>47</v>
      </c>
      <c r="D232" s="1"/>
      <c r="E232" s="1" t="s">
        <v>1274</v>
      </c>
      <c r="F232" s="1"/>
      <c r="G232" s="1" t="s">
        <v>49</v>
      </c>
      <c r="H232" s="1" t="s">
        <v>93</v>
      </c>
      <c r="I232" s="1">
        <v>500.0</v>
      </c>
      <c r="J232" s="1"/>
      <c r="K232" s="1" t="s">
        <v>51</v>
      </c>
      <c r="L232" s="1"/>
      <c r="M232" s="1" t="s">
        <v>1275</v>
      </c>
      <c r="N232" s="1" t="s">
        <v>212</v>
      </c>
      <c r="O232" s="1" t="s">
        <v>213</v>
      </c>
      <c r="P232" s="2">
        <v>43813.4631018519</v>
      </c>
      <c r="Q232" s="1" t="s">
        <v>55</v>
      </c>
      <c r="R232" s="1"/>
      <c r="S232" s="1"/>
      <c r="T232" s="1">
        <v>2601102.0</v>
      </c>
      <c r="U232" s="1" t="s">
        <v>1276</v>
      </c>
      <c r="V232" s="1" t="s">
        <v>1037</v>
      </c>
      <c r="W232" s="1" t="s">
        <v>113</v>
      </c>
      <c r="X232" s="1"/>
      <c r="Y232" s="1"/>
      <c r="Z232" s="1" t="s">
        <v>215</v>
      </c>
      <c r="AA232" s="1" t="s">
        <v>1277</v>
      </c>
      <c r="AB232" s="1" t="str">
        <f>"08413712000144"</f>
        <v>08413712000144</v>
      </c>
      <c r="AC232" s="1"/>
      <c r="AD232" s="1" t="s">
        <v>149</v>
      </c>
      <c r="AE232" s="1"/>
      <c r="AF232" s="1">
        <v>-40.513332</v>
      </c>
      <c r="AG232" s="1">
        <v>-7.653334</v>
      </c>
      <c r="AH232" s="1" t="s">
        <v>1278</v>
      </c>
      <c r="AI232" s="1"/>
      <c r="AJ232" s="1" t="s">
        <v>1040</v>
      </c>
      <c r="AK232" s="1"/>
      <c r="AL232" s="1"/>
      <c r="AM232" s="1" t="s">
        <v>65</v>
      </c>
      <c r="AN232" s="1" t="s">
        <v>1279</v>
      </c>
      <c r="AO232" s="1"/>
      <c r="AP232" s="2">
        <v>43813.4674421296</v>
      </c>
      <c r="AQ232" s="1"/>
      <c r="AR232" s="1" t="s">
        <v>1280</v>
      </c>
      <c r="AS232" s="1"/>
      <c r="AT232" s="2">
        <v>44269.931099537</v>
      </c>
    </row>
    <row r="233" ht="13.5" customHeight="1">
      <c r="A233" s="1">
        <v>2035007.0</v>
      </c>
      <c r="B233" s="1" t="s">
        <v>67</v>
      </c>
      <c r="C233" s="1" t="s">
        <v>68</v>
      </c>
      <c r="D233" s="1" t="s">
        <v>46</v>
      </c>
      <c r="E233" s="1" t="s">
        <v>1281</v>
      </c>
      <c r="F233" s="1"/>
      <c r="G233" s="1" t="s">
        <v>70</v>
      </c>
      <c r="H233" s="1" t="s">
        <v>93</v>
      </c>
      <c r="I233" s="1">
        <v>4636.8</v>
      </c>
      <c r="J233" s="1"/>
      <c r="K233" s="1"/>
      <c r="L233" s="1" t="s">
        <v>537</v>
      </c>
      <c r="M233" s="1" t="s">
        <v>1282</v>
      </c>
      <c r="N233" s="1" t="s">
        <v>142</v>
      </c>
      <c r="O233" s="1" t="s">
        <v>143</v>
      </c>
      <c r="P233" s="2">
        <v>43813.4583333333</v>
      </c>
      <c r="Q233" s="1" t="s">
        <v>74</v>
      </c>
      <c r="R233" s="3">
        <v>43813.0</v>
      </c>
      <c r="S233" s="1"/>
      <c r="T233" s="1">
        <v>2100055.0</v>
      </c>
      <c r="U233" s="1" t="s">
        <v>1283</v>
      </c>
      <c r="V233" s="1" t="s">
        <v>540</v>
      </c>
      <c r="W233" s="1" t="s">
        <v>177</v>
      </c>
      <c r="X233" s="1"/>
      <c r="Y233" s="1" t="str">
        <f>"02012000548202006"</f>
        <v>02012000548202006</v>
      </c>
      <c r="Z233" s="1" t="s">
        <v>147</v>
      </c>
      <c r="AA233" s="1" t="s">
        <v>1284</v>
      </c>
      <c r="AB233" s="1" t="str">
        <f>"***254403**"</f>
        <v>***254403**</v>
      </c>
      <c r="AC233" s="1"/>
      <c r="AD233" s="1"/>
      <c r="AE233" s="1"/>
      <c r="AF233" s="1">
        <v>-47.427223</v>
      </c>
      <c r="AG233" s="1">
        <v>-4.918333</v>
      </c>
      <c r="AH233" s="1" t="s">
        <v>1285</v>
      </c>
      <c r="AI233" s="1"/>
      <c r="AJ233" s="1" t="s">
        <v>537</v>
      </c>
      <c r="AK233" s="1"/>
      <c r="AL233" s="1" t="s">
        <v>79</v>
      </c>
      <c r="AM233" s="1" t="s">
        <v>65</v>
      </c>
      <c r="AN233" s="1" t="s">
        <v>543</v>
      </c>
      <c r="AO233" s="2">
        <v>43893.0</v>
      </c>
      <c r="AP233" s="2">
        <v>43893.6024884259</v>
      </c>
      <c r="AQ233" s="1" t="s">
        <v>80</v>
      </c>
      <c r="AR233" s="1" t="s">
        <v>181</v>
      </c>
      <c r="AS233" s="1"/>
      <c r="AT233" s="2">
        <v>44269.931099537</v>
      </c>
    </row>
    <row r="234" ht="13.5" customHeight="1">
      <c r="A234" s="1">
        <v>2039170.0</v>
      </c>
      <c r="B234" s="1" t="s">
        <v>67</v>
      </c>
      <c r="C234" s="1" t="s">
        <v>68</v>
      </c>
      <c r="D234" s="1" t="s">
        <v>46</v>
      </c>
      <c r="E234" s="1" t="s">
        <v>1286</v>
      </c>
      <c r="F234" s="1"/>
      <c r="G234" s="1" t="s">
        <v>70</v>
      </c>
      <c r="H234" s="1" t="s">
        <v>93</v>
      </c>
      <c r="I234" s="1">
        <v>56125.14</v>
      </c>
      <c r="J234" s="1"/>
      <c r="K234" s="1"/>
      <c r="L234" s="1" t="s">
        <v>569</v>
      </c>
      <c r="M234" s="1" t="s">
        <v>1287</v>
      </c>
      <c r="N234" s="1" t="s">
        <v>142</v>
      </c>
      <c r="O234" s="1" t="s">
        <v>143</v>
      </c>
      <c r="P234" s="2">
        <v>43813.4166666667</v>
      </c>
      <c r="Q234" s="1" t="s">
        <v>373</v>
      </c>
      <c r="R234" s="3">
        <v>43813.0</v>
      </c>
      <c r="S234" s="1"/>
      <c r="T234" s="1">
        <v>2804508.0</v>
      </c>
      <c r="U234" s="1" t="s">
        <v>1288</v>
      </c>
      <c r="V234" s="1" t="s">
        <v>566</v>
      </c>
      <c r="W234" s="1" t="s">
        <v>177</v>
      </c>
      <c r="X234" s="1"/>
      <c r="Y234" s="1" t="str">
        <f>"02028000674202083"</f>
        <v>02028000674202083</v>
      </c>
      <c r="Z234" s="1" t="s">
        <v>147</v>
      </c>
      <c r="AA234" s="1" t="s">
        <v>1289</v>
      </c>
      <c r="AB234" s="1" t="str">
        <f>"17728479000180"</f>
        <v>17728479000180</v>
      </c>
      <c r="AC234" s="1"/>
      <c r="AD234" s="1"/>
      <c r="AE234" s="1"/>
      <c r="AF234" s="1">
        <v>-37.424725</v>
      </c>
      <c r="AG234" s="1">
        <v>-10.213056</v>
      </c>
      <c r="AH234" s="1" t="s">
        <v>1290</v>
      </c>
      <c r="AI234" s="1"/>
      <c r="AJ234" s="1" t="s">
        <v>569</v>
      </c>
      <c r="AK234" s="1"/>
      <c r="AL234" s="1" t="s">
        <v>79</v>
      </c>
      <c r="AM234" s="1" t="s">
        <v>65</v>
      </c>
      <c r="AN234" s="1" t="s">
        <v>570</v>
      </c>
      <c r="AO234" s="2">
        <v>44055.0</v>
      </c>
      <c r="AP234" s="2">
        <v>44055.6445833333</v>
      </c>
      <c r="AQ234" s="1" t="s">
        <v>80</v>
      </c>
      <c r="AR234" s="1" t="s">
        <v>1291</v>
      </c>
      <c r="AS234" s="1" t="s">
        <v>1292</v>
      </c>
      <c r="AT234" s="2">
        <v>44269.931099537</v>
      </c>
    </row>
    <row r="235" ht="13.5" customHeight="1">
      <c r="A235" s="1">
        <v>1947407.0</v>
      </c>
      <c r="B235" s="1" t="s">
        <v>67</v>
      </c>
      <c r="C235" s="1" t="s">
        <v>68</v>
      </c>
      <c r="D235" s="1" t="s">
        <v>46</v>
      </c>
      <c r="E235" s="1">
        <v>9175135.0</v>
      </c>
      <c r="F235" s="1" t="s">
        <v>1293</v>
      </c>
      <c r="G235" s="1" t="s">
        <v>70</v>
      </c>
      <c r="H235" s="1" t="s">
        <v>93</v>
      </c>
      <c r="I235" s="1">
        <v>1070000.0</v>
      </c>
      <c r="J235" s="1"/>
      <c r="K235" s="1"/>
      <c r="L235" s="1" t="s">
        <v>65</v>
      </c>
      <c r="M235" s="1" t="s">
        <v>1294</v>
      </c>
      <c r="N235" s="1" t="s">
        <v>142</v>
      </c>
      <c r="O235" s="1"/>
      <c r="P235" s="2">
        <v>43813.329224537</v>
      </c>
      <c r="Q235" s="1" t="s">
        <v>74</v>
      </c>
      <c r="R235" s="1"/>
      <c r="S235" s="1"/>
      <c r="T235" s="1">
        <v>1100205.0</v>
      </c>
      <c r="U235" s="1" t="s">
        <v>653</v>
      </c>
      <c r="V235" s="1" t="s">
        <v>448</v>
      </c>
      <c r="W235" s="1" t="s">
        <v>177</v>
      </c>
      <c r="X235" s="1"/>
      <c r="Y235" s="1"/>
      <c r="Z235" s="1" t="s">
        <v>147</v>
      </c>
      <c r="AA235" s="1"/>
      <c r="AB235" s="1"/>
      <c r="AC235" s="1">
        <v>213.5</v>
      </c>
      <c r="AD235" s="1" t="s">
        <v>116</v>
      </c>
      <c r="AE235" s="1"/>
      <c r="AF235" s="1">
        <v>-65.580278</v>
      </c>
      <c r="AG235" s="1">
        <v>-9.468611</v>
      </c>
      <c r="AH235" s="1" t="s">
        <v>1295</v>
      </c>
      <c r="AI235" s="1"/>
      <c r="AJ235" s="1" t="s">
        <v>444</v>
      </c>
      <c r="AK235" s="1"/>
      <c r="AL235" s="1"/>
      <c r="AM235" s="1"/>
      <c r="AN235" s="1"/>
      <c r="AO235" s="2">
        <v>43813.3420023148</v>
      </c>
      <c r="AP235" s="1"/>
      <c r="AQ235" s="1"/>
      <c r="AR235" s="1" t="s">
        <v>1296</v>
      </c>
      <c r="AS235" s="1"/>
      <c r="AT235" s="2">
        <v>44269.931099537</v>
      </c>
    </row>
    <row r="236" ht="13.5" customHeight="1">
      <c r="A236" s="1">
        <v>2035473.0</v>
      </c>
      <c r="B236" s="1" t="s">
        <v>67</v>
      </c>
      <c r="C236" s="1" t="s">
        <v>68</v>
      </c>
      <c r="D236" s="1" t="s">
        <v>46</v>
      </c>
      <c r="E236" s="1" t="s">
        <v>1297</v>
      </c>
      <c r="F236" s="1"/>
      <c r="G236" s="1" t="s">
        <v>70</v>
      </c>
      <c r="H236" s="1" t="s">
        <v>93</v>
      </c>
      <c r="I236" s="1">
        <v>10000.0</v>
      </c>
      <c r="J236" s="1"/>
      <c r="K236" s="1"/>
      <c r="L236" s="1" t="s">
        <v>106</v>
      </c>
      <c r="M236" s="1" t="s">
        <v>1298</v>
      </c>
      <c r="N236" s="1" t="s">
        <v>95</v>
      </c>
      <c r="O236" s="1"/>
      <c r="P236" s="2">
        <v>43813.2868055556</v>
      </c>
      <c r="Q236" s="1" t="s">
        <v>55</v>
      </c>
      <c r="R236" s="1"/>
      <c r="S236" s="1"/>
      <c r="T236" s="1">
        <v>2310308.0</v>
      </c>
      <c r="U236" s="1" t="s">
        <v>1299</v>
      </c>
      <c r="V236" s="1" t="s">
        <v>112</v>
      </c>
      <c r="W236" s="1" t="s">
        <v>113</v>
      </c>
      <c r="X236" s="1"/>
      <c r="Y236" s="1" t="str">
        <f>"02007000084202007"</f>
        <v>02007000084202007</v>
      </c>
      <c r="Z236" s="1" t="s">
        <v>1267</v>
      </c>
      <c r="AA236" s="1" t="s">
        <v>1300</v>
      </c>
      <c r="AB236" s="1" t="str">
        <f>"***962513**"</f>
        <v>***962513**</v>
      </c>
      <c r="AC236" s="1"/>
      <c r="AD236" s="1" t="s">
        <v>116</v>
      </c>
      <c r="AE236" s="1"/>
      <c r="AF236" s="1">
        <v>0.0</v>
      </c>
      <c r="AG236" s="1">
        <v>0.0</v>
      </c>
      <c r="AH236" s="1" t="s">
        <v>1269</v>
      </c>
      <c r="AI236" s="1"/>
      <c r="AJ236" s="1"/>
      <c r="AK236" s="1"/>
      <c r="AL236" s="1" t="s">
        <v>118</v>
      </c>
      <c r="AM236" s="1"/>
      <c r="AN236" s="1"/>
      <c r="AO236" s="2">
        <v>43906.4313888889</v>
      </c>
      <c r="AP236" s="2">
        <v>43906.4313888889</v>
      </c>
      <c r="AQ236" s="1" t="s">
        <v>80</v>
      </c>
      <c r="AR236" s="1" t="s">
        <v>1301</v>
      </c>
      <c r="AS236" s="1"/>
      <c r="AT236" s="2">
        <v>44269.931099537</v>
      </c>
    </row>
    <row r="237" ht="13.5" customHeight="1">
      <c r="A237" s="1">
        <v>2035481.0</v>
      </c>
      <c r="B237" s="1" t="s">
        <v>67</v>
      </c>
      <c r="C237" s="1" t="s">
        <v>68</v>
      </c>
      <c r="D237" s="1" t="s">
        <v>46</v>
      </c>
      <c r="E237" s="1" t="s">
        <v>1302</v>
      </c>
      <c r="F237" s="1"/>
      <c r="G237" s="1" t="s">
        <v>70</v>
      </c>
      <c r="H237" s="1" t="s">
        <v>93</v>
      </c>
      <c r="I237" s="1">
        <v>1000.0</v>
      </c>
      <c r="J237" s="1"/>
      <c r="K237" s="1"/>
      <c r="L237" s="1" t="s">
        <v>106</v>
      </c>
      <c r="M237" s="1" t="s">
        <v>1303</v>
      </c>
      <c r="N237" s="1" t="s">
        <v>95</v>
      </c>
      <c r="O237" s="1" t="s">
        <v>96</v>
      </c>
      <c r="P237" s="2">
        <v>43813.2701388889</v>
      </c>
      <c r="Q237" s="1" t="s">
        <v>373</v>
      </c>
      <c r="R237" s="1"/>
      <c r="S237" s="1"/>
      <c r="T237" s="1">
        <v>2310308.0</v>
      </c>
      <c r="U237" s="1" t="s">
        <v>1299</v>
      </c>
      <c r="V237" s="1" t="s">
        <v>112</v>
      </c>
      <c r="W237" s="1" t="s">
        <v>113</v>
      </c>
      <c r="X237" s="1"/>
      <c r="Y237" s="1" t="str">
        <f>"02007000078202041"</f>
        <v>02007000078202041</v>
      </c>
      <c r="Z237" s="1" t="s">
        <v>1267</v>
      </c>
      <c r="AA237" s="1" t="s">
        <v>1304</v>
      </c>
      <c r="AB237" s="1" t="str">
        <f>"***290203**"</f>
        <v>***290203**</v>
      </c>
      <c r="AC237" s="1"/>
      <c r="AD237" s="1" t="s">
        <v>116</v>
      </c>
      <c r="AE237" s="1"/>
      <c r="AF237" s="1">
        <v>0.0</v>
      </c>
      <c r="AG237" s="1">
        <v>0.0</v>
      </c>
      <c r="AH237" s="1" t="s">
        <v>1269</v>
      </c>
      <c r="AI237" s="1"/>
      <c r="AJ237" s="1"/>
      <c r="AK237" s="1"/>
      <c r="AL237" s="1" t="s">
        <v>118</v>
      </c>
      <c r="AM237" s="1"/>
      <c r="AN237" s="1"/>
      <c r="AO237" s="2">
        <v>43906.4944675926</v>
      </c>
      <c r="AP237" s="2">
        <v>43906.4944675926</v>
      </c>
      <c r="AQ237" s="1" t="s">
        <v>80</v>
      </c>
      <c r="AR237" s="1" t="s">
        <v>1270</v>
      </c>
      <c r="AS237" s="1"/>
      <c r="AT237" s="2">
        <v>44269.931099537</v>
      </c>
    </row>
    <row r="238" ht="13.5" customHeight="1">
      <c r="A238" s="1">
        <v>2043209.0</v>
      </c>
      <c r="B238" s="1" t="s">
        <v>67</v>
      </c>
      <c r="C238" s="1" t="s">
        <v>68</v>
      </c>
      <c r="D238" s="1" t="s">
        <v>46</v>
      </c>
      <c r="E238" s="1" t="s">
        <v>1305</v>
      </c>
      <c r="F238" s="1"/>
      <c r="G238" s="1" t="s">
        <v>70</v>
      </c>
      <c r="H238" s="1" t="s">
        <v>93</v>
      </c>
      <c r="I238" s="1">
        <v>4260.0</v>
      </c>
      <c r="J238" s="1"/>
      <c r="K238" s="1"/>
      <c r="L238" s="1" t="s">
        <v>569</v>
      </c>
      <c r="M238" s="1" t="s">
        <v>1306</v>
      </c>
      <c r="N238" s="1" t="s">
        <v>142</v>
      </c>
      <c r="O238" s="1" t="s">
        <v>143</v>
      </c>
      <c r="P238" s="2">
        <v>43813.1666666667</v>
      </c>
      <c r="Q238" s="1" t="s">
        <v>55</v>
      </c>
      <c r="R238" s="1"/>
      <c r="S238" s="1"/>
      <c r="T238" s="1">
        <v>2804102.0</v>
      </c>
      <c r="U238" s="1" t="s">
        <v>1307</v>
      </c>
      <c r="V238" s="1" t="s">
        <v>566</v>
      </c>
      <c r="W238" s="1" t="s">
        <v>177</v>
      </c>
      <c r="X238" s="1"/>
      <c r="Y238" s="1" t="str">
        <f>"02028001753201978"</f>
        <v>02028001753201978</v>
      </c>
      <c r="Z238" s="1" t="s">
        <v>147</v>
      </c>
      <c r="AA238" s="1" t="s">
        <v>1308</v>
      </c>
      <c r="AB238" s="1" t="str">
        <f>"74059767000394"</f>
        <v>74059767000394</v>
      </c>
      <c r="AC238" s="1"/>
      <c r="AD238" s="1"/>
      <c r="AE238" s="1"/>
      <c r="AF238" s="1">
        <v>-37.343609</v>
      </c>
      <c r="AG238" s="1">
        <v>-10.580556</v>
      </c>
      <c r="AH238" s="1" t="s">
        <v>1309</v>
      </c>
      <c r="AI238" s="1"/>
      <c r="AJ238" s="1" t="s">
        <v>569</v>
      </c>
      <c r="AK238" s="1"/>
      <c r="AL238" s="1" t="s">
        <v>79</v>
      </c>
      <c r="AM238" s="1" t="s">
        <v>65</v>
      </c>
      <c r="AN238" s="1" t="s">
        <v>570</v>
      </c>
      <c r="AO238" s="2">
        <v>44230.0</v>
      </c>
      <c r="AP238" s="2">
        <v>44230.7250925926</v>
      </c>
      <c r="AQ238" s="1" t="s">
        <v>80</v>
      </c>
      <c r="AR238" s="1" t="s">
        <v>181</v>
      </c>
      <c r="AS238" s="1" t="s">
        <v>1310</v>
      </c>
      <c r="AT238" s="2">
        <v>44269.931099537</v>
      </c>
    </row>
    <row r="239" ht="13.5" customHeight="1">
      <c r="A239" s="1"/>
      <c r="B239" s="1" t="s">
        <v>46</v>
      </c>
      <c r="C239" s="1" t="s">
        <v>47</v>
      </c>
      <c r="D239" s="1"/>
      <c r="E239" s="1" t="s">
        <v>1311</v>
      </c>
      <c r="F239" s="1"/>
      <c r="G239" s="1" t="s">
        <v>49</v>
      </c>
      <c r="H239" s="1" t="s">
        <v>50</v>
      </c>
      <c r="I239" s="1">
        <v>1500.0</v>
      </c>
      <c r="J239" s="1"/>
      <c r="K239" s="1" t="s">
        <v>51</v>
      </c>
      <c r="L239" s="1"/>
      <c r="M239" s="1" t="s">
        <v>1312</v>
      </c>
      <c r="N239" s="1" t="s">
        <v>123</v>
      </c>
      <c r="O239" s="1" t="s">
        <v>73</v>
      </c>
      <c r="P239" s="2">
        <v>43812.8416666667</v>
      </c>
      <c r="Q239" s="1" t="s">
        <v>74</v>
      </c>
      <c r="R239" s="3">
        <v>43818.0</v>
      </c>
      <c r="S239" s="1"/>
      <c r="T239" s="1">
        <v>1505502.0</v>
      </c>
      <c r="U239" s="1" t="s">
        <v>1313</v>
      </c>
      <c r="V239" s="1" t="s">
        <v>193</v>
      </c>
      <c r="W239" s="1" t="s">
        <v>177</v>
      </c>
      <c r="X239" s="1"/>
      <c r="Y239" s="1"/>
      <c r="Z239" s="1" t="s">
        <v>76</v>
      </c>
      <c r="AA239" s="1" t="s">
        <v>1314</v>
      </c>
      <c r="AB239" s="1" t="str">
        <f>"***110512**"</f>
        <v>***110512**</v>
      </c>
      <c r="AC239" s="1"/>
      <c r="AD239" s="1" t="s">
        <v>62</v>
      </c>
      <c r="AE239" s="1"/>
      <c r="AF239" s="1">
        <v>-48.241669</v>
      </c>
      <c r="AG239" s="1">
        <v>-3.119444</v>
      </c>
      <c r="AH239" s="1" t="s">
        <v>1315</v>
      </c>
      <c r="AI239" s="1"/>
      <c r="AJ239" s="1" t="s">
        <v>196</v>
      </c>
      <c r="AK239" s="1"/>
      <c r="AL239" s="1"/>
      <c r="AM239" s="1" t="s">
        <v>65</v>
      </c>
      <c r="AN239" s="1"/>
      <c r="AO239" s="1"/>
      <c r="AP239" s="2">
        <v>43815.5693518519</v>
      </c>
      <c r="AQ239" s="1"/>
      <c r="AR239" s="1" t="s">
        <v>153</v>
      </c>
      <c r="AS239" s="1"/>
      <c r="AT239" s="2">
        <v>44269.931099537</v>
      </c>
    </row>
    <row r="240" ht="13.5" customHeight="1">
      <c r="A240" s="1">
        <v>2043223.0</v>
      </c>
      <c r="B240" s="1" t="s">
        <v>67</v>
      </c>
      <c r="C240" s="1" t="s">
        <v>68</v>
      </c>
      <c r="D240" s="1" t="s">
        <v>46</v>
      </c>
      <c r="E240" s="1" t="s">
        <v>1316</v>
      </c>
      <c r="F240" s="1"/>
      <c r="G240" s="1" t="s">
        <v>70</v>
      </c>
      <c r="H240" s="1" t="s">
        <v>93</v>
      </c>
      <c r="I240" s="1">
        <v>4000.0</v>
      </c>
      <c r="J240" s="1"/>
      <c r="K240" s="1"/>
      <c r="L240" s="1" t="s">
        <v>106</v>
      </c>
      <c r="M240" s="1" t="s">
        <v>1317</v>
      </c>
      <c r="N240" s="1" t="s">
        <v>108</v>
      </c>
      <c r="O240" s="1" t="s">
        <v>109</v>
      </c>
      <c r="P240" s="2">
        <v>43812.8333333333</v>
      </c>
      <c r="Q240" s="1" t="s">
        <v>74</v>
      </c>
      <c r="R240" s="1"/>
      <c r="S240" s="1"/>
      <c r="T240" s="1">
        <v>2301000.0</v>
      </c>
      <c r="U240" s="1" t="s">
        <v>1318</v>
      </c>
      <c r="V240" s="1" t="s">
        <v>112</v>
      </c>
      <c r="W240" s="1" t="s">
        <v>113</v>
      </c>
      <c r="X240" s="1"/>
      <c r="Y240" s="1" t="str">
        <f>"02007000362202107"</f>
        <v>02007000362202107</v>
      </c>
      <c r="Z240" s="1" t="s">
        <v>226</v>
      </c>
      <c r="AA240" s="1" t="s">
        <v>1319</v>
      </c>
      <c r="AB240" s="1" t="str">
        <f>"07221845000156"</f>
        <v>07221845000156</v>
      </c>
      <c r="AC240" s="1"/>
      <c r="AD240" s="1"/>
      <c r="AE240" s="1"/>
      <c r="AF240" s="1">
        <v>-38.406391</v>
      </c>
      <c r="AG240" s="1">
        <v>-3.894444</v>
      </c>
      <c r="AH240" s="1" t="s">
        <v>1320</v>
      </c>
      <c r="AI240" s="1"/>
      <c r="AJ240" s="1" t="s">
        <v>106</v>
      </c>
      <c r="AK240" s="1"/>
      <c r="AL240" s="1" t="s">
        <v>79</v>
      </c>
      <c r="AM240" s="1" t="s">
        <v>65</v>
      </c>
      <c r="AN240" s="1" t="s">
        <v>1321</v>
      </c>
      <c r="AO240" s="2">
        <v>44231.0</v>
      </c>
      <c r="AP240" s="2">
        <v>44231.5288194444</v>
      </c>
      <c r="AQ240" s="1" t="s">
        <v>80</v>
      </c>
      <c r="AR240" s="1" t="s">
        <v>507</v>
      </c>
      <c r="AS240" s="1" t="s">
        <v>1322</v>
      </c>
      <c r="AT240" s="2">
        <v>44269.931099537</v>
      </c>
    </row>
    <row r="241" ht="13.5" customHeight="1">
      <c r="A241" s="1"/>
      <c r="B241" s="1" t="s">
        <v>46</v>
      </c>
      <c r="C241" s="1" t="s">
        <v>47</v>
      </c>
      <c r="D241" s="1"/>
      <c r="E241" s="1" t="s">
        <v>1323</v>
      </c>
      <c r="F241" s="1"/>
      <c r="G241" s="1" t="s">
        <v>49</v>
      </c>
      <c r="H241" s="1" t="s">
        <v>93</v>
      </c>
      <c r="I241" s="1">
        <v>150.0</v>
      </c>
      <c r="J241" s="1"/>
      <c r="K241" s="1"/>
      <c r="L241" s="1"/>
      <c r="M241" s="1" t="s">
        <v>1324</v>
      </c>
      <c r="N241" s="1" t="s">
        <v>108</v>
      </c>
      <c r="O241" s="1" t="s">
        <v>109</v>
      </c>
      <c r="P241" s="2">
        <v>43812.8164699074</v>
      </c>
      <c r="Q241" s="1" t="s">
        <v>74</v>
      </c>
      <c r="R241" s="3">
        <v>43847.0</v>
      </c>
      <c r="S241" s="1"/>
      <c r="T241" s="1">
        <v>4304606.0</v>
      </c>
      <c r="U241" s="1" t="s">
        <v>1325</v>
      </c>
      <c r="V241" s="1" t="s">
        <v>145</v>
      </c>
      <c r="W241" s="1" t="s">
        <v>59</v>
      </c>
      <c r="X241" s="1"/>
      <c r="Y241" s="1"/>
      <c r="Z241" s="1" t="s">
        <v>226</v>
      </c>
      <c r="AA241" s="1" t="s">
        <v>1326</v>
      </c>
      <c r="AB241" s="1" t="str">
        <f>"33164778000108"</f>
        <v>33164778000108</v>
      </c>
      <c r="AC241" s="1"/>
      <c r="AD241" s="1" t="s">
        <v>62</v>
      </c>
      <c r="AE241" s="1"/>
      <c r="AF241" s="1">
        <v>-51.174</v>
      </c>
      <c r="AG241" s="1">
        <v>-29.909639</v>
      </c>
      <c r="AH241" s="1" t="s">
        <v>1327</v>
      </c>
      <c r="AI241" s="1"/>
      <c r="AJ241" s="1" t="s">
        <v>151</v>
      </c>
      <c r="AK241" s="1"/>
      <c r="AL241" s="1"/>
      <c r="AM241" s="1" t="s">
        <v>65</v>
      </c>
      <c r="AN241" s="1" t="s">
        <v>152</v>
      </c>
      <c r="AO241" s="1"/>
      <c r="AP241" s="2">
        <v>44070.8726967593</v>
      </c>
      <c r="AQ241" s="1"/>
      <c r="AR241" s="1" t="s">
        <v>1328</v>
      </c>
      <c r="AS241" s="1"/>
      <c r="AT241" s="2">
        <v>44269.931099537</v>
      </c>
    </row>
    <row r="242" ht="13.5" customHeight="1">
      <c r="A242" s="1">
        <v>2043165.0</v>
      </c>
      <c r="B242" s="1" t="s">
        <v>67</v>
      </c>
      <c r="C242" s="1" t="s">
        <v>68</v>
      </c>
      <c r="D242" s="1" t="s">
        <v>46</v>
      </c>
      <c r="E242" s="1" t="s">
        <v>1329</v>
      </c>
      <c r="F242" s="1"/>
      <c r="G242" s="1" t="s">
        <v>70</v>
      </c>
      <c r="H242" s="1" t="s">
        <v>93</v>
      </c>
      <c r="I242" s="1">
        <v>50500.0</v>
      </c>
      <c r="J242" s="1"/>
      <c r="K242" s="1"/>
      <c r="L242" s="1" t="s">
        <v>106</v>
      </c>
      <c r="M242" s="1" t="s">
        <v>1330</v>
      </c>
      <c r="N242" s="1" t="s">
        <v>72</v>
      </c>
      <c r="O242" s="1" t="s">
        <v>213</v>
      </c>
      <c r="P242" s="2">
        <v>43812.7916666667</v>
      </c>
      <c r="Q242" s="1" t="s">
        <v>74</v>
      </c>
      <c r="R242" s="1"/>
      <c r="S242" s="1"/>
      <c r="T242" s="1">
        <v>2302206.0</v>
      </c>
      <c r="U242" s="1" t="s">
        <v>1331</v>
      </c>
      <c r="V242" s="1" t="s">
        <v>112</v>
      </c>
      <c r="W242" s="1" t="s">
        <v>288</v>
      </c>
      <c r="X242" s="1"/>
      <c r="Y242" s="1" t="str">
        <f>"02007000345202161"</f>
        <v>02007000345202161</v>
      </c>
      <c r="Z242" s="1" t="s">
        <v>215</v>
      </c>
      <c r="AA242" s="1" t="s">
        <v>1332</v>
      </c>
      <c r="AB242" s="1" t="str">
        <f>"01351521000156"</f>
        <v>01351521000156</v>
      </c>
      <c r="AC242" s="1"/>
      <c r="AD242" s="1"/>
      <c r="AE242" s="1"/>
      <c r="AF242" s="1">
        <v>-37.842499</v>
      </c>
      <c r="AG242" s="1">
        <v>-4.3875</v>
      </c>
      <c r="AH242" s="1" t="s">
        <v>1333</v>
      </c>
      <c r="AI242" s="1"/>
      <c r="AJ242" s="1" t="s">
        <v>106</v>
      </c>
      <c r="AK242" s="1"/>
      <c r="AL242" s="1" t="s">
        <v>79</v>
      </c>
      <c r="AM242" s="1" t="s">
        <v>65</v>
      </c>
      <c r="AN242" s="1" t="s">
        <v>1321</v>
      </c>
      <c r="AO242" s="2">
        <v>44230.0</v>
      </c>
      <c r="AP242" s="2">
        <v>44230.4487847222</v>
      </c>
      <c r="AQ242" s="1" t="s">
        <v>80</v>
      </c>
      <c r="AR242" s="1" t="s">
        <v>1334</v>
      </c>
      <c r="AS242" s="1" t="s">
        <v>1335</v>
      </c>
      <c r="AT242" s="2">
        <v>44269.931099537</v>
      </c>
    </row>
    <row r="243" ht="13.5" customHeight="1">
      <c r="A243" s="1"/>
      <c r="B243" s="1" t="s">
        <v>46</v>
      </c>
      <c r="C243" s="1" t="s">
        <v>47</v>
      </c>
      <c r="D243" s="1"/>
      <c r="E243" s="1" t="s">
        <v>1336</v>
      </c>
      <c r="F243" s="1"/>
      <c r="G243" s="1" t="s">
        <v>49</v>
      </c>
      <c r="H243" s="1" t="s">
        <v>50</v>
      </c>
      <c r="I243" s="1">
        <v>102500.0</v>
      </c>
      <c r="J243" s="1"/>
      <c r="K243" s="1" t="s">
        <v>140</v>
      </c>
      <c r="L243" s="1"/>
      <c r="M243" s="1" t="s">
        <v>1337</v>
      </c>
      <c r="N243" s="1" t="s">
        <v>977</v>
      </c>
      <c r="O243" s="1" t="s">
        <v>978</v>
      </c>
      <c r="P243" s="2">
        <v>43812.7705902778</v>
      </c>
      <c r="Q243" s="1" t="s">
        <v>74</v>
      </c>
      <c r="R243" s="3">
        <v>43847.0</v>
      </c>
      <c r="S243" s="1"/>
      <c r="T243" s="1">
        <v>4304606.0</v>
      </c>
      <c r="U243" s="1" t="s">
        <v>1325</v>
      </c>
      <c r="V243" s="1" t="s">
        <v>145</v>
      </c>
      <c r="W243" s="1" t="s">
        <v>59</v>
      </c>
      <c r="X243" s="1"/>
      <c r="Y243" s="1"/>
      <c r="Z243" s="1" t="s">
        <v>980</v>
      </c>
      <c r="AA243" s="1" t="s">
        <v>1326</v>
      </c>
      <c r="AB243" s="1" t="str">
        <f>"33164728000108"</f>
        <v>33164728000108</v>
      </c>
      <c r="AC243" s="1"/>
      <c r="AD243" s="1" t="s">
        <v>62</v>
      </c>
      <c r="AE243" s="1"/>
      <c r="AF243" s="1">
        <v>-51.174</v>
      </c>
      <c r="AG243" s="1">
        <v>-29.909639</v>
      </c>
      <c r="AH243" s="1" t="s">
        <v>1338</v>
      </c>
      <c r="AI243" s="1"/>
      <c r="AJ243" s="1" t="s">
        <v>151</v>
      </c>
      <c r="AK243" s="1"/>
      <c r="AL243" s="1"/>
      <c r="AM243" s="1" t="s">
        <v>65</v>
      </c>
      <c r="AN243" s="1" t="s">
        <v>152</v>
      </c>
      <c r="AO243" s="1"/>
      <c r="AP243" s="2">
        <v>44070.8727893519</v>
      </c>
      <c r="AQ243" s="1"/>
      <c r="AR243" s="1" t="s">
        <v>1339</v>
      </c>
      <c r="AS243" s="1"/>
      <c r="AT243" s="2">
        <v>44269.931099537</v>
      </c>
    </row>
    <row r="244" ht="13.5" customHeight="1">
      <c r="A244" s="1"/>
      <c r="B244" s="1" t="s">
        <v>46</v>
      </c>
      <c r="C244" s="1" t="s">
        <v>47</v>
      </c>
      <c r="D244" s="1"/>
      <c r="E244" s="1" t="s">
        <v>1340</v>
      </c>
      <c r="F244" s="1"/>
      <c r="G244" s="1" t="s">
        <v>49</v>
      </c>
      <c r="H244" s="1" t="s">
        <v>93</v>
      </c>
      <c r="I244" s="1">
        <v>12300.0</v>
      </c>
      <c r="J244" s="1"/>
      <c r="K244" s="1"/>
      <c r="L244" s="1"/>
      <c r="M244" s="1" t="s">
        <v>1341</v>
      </c>
      <c r="N244" s="1" t="s">
        <v>142</v>
      </c>
      <c r="O244" s="1" t="s">
        <v>143</v>
      </c>
      <c r="P244" s="2">
        <v>43812.7639351852</v>
      </c>
      <c r="Q244" s="1" t="s">
        <v>74</v>
      </c>
      <c r="R244" s="3">
        <v>43813.0</v>
      </c>
      <c r="S244" s="1"/>
      <c r="T244" s="1">
        <v>5104609.0</v>
      </c>
      <c r="U244" s="1" t="s">
        <v>1261</v>
      </c>
      <c r="V244" s="1" t="s">
        <v>164</v>
      </c>
      <c r="W244" s="1" t="s">
        <v>127</v>
      </c>
      <c r="X244" s="1"/>
      <c r="Y244" s="1"/>
      <c r="Z244" s="1" t="s">
        <v>147</v>
      </c>
      <c r="AA244" s="1" t="s">
        <v>1342</v>
      </c>
      <c r="AB244" s="1" t="str">
        <f>"***949152**"</f>
        <v>***949152**</v>
      </c>
      <c r="AC244" s="1"/>
      <c r="AD244" s="1" t="s">
        <v>149</v>
      </c>
      <c r="AE244" s="1"/>
      <c r="AF244" s="1">
        <v>-54.170002</v>
      </c>
      <c r="AG244" s="1">
        <v>-16.82111</v>
      </c>
      <c r="AH244" s="1" t="s">
        <v>1343</v>
      </c>
      <c r="AI244" s="1"/>
      <c r="AJ244" s="1" t="s">
        <v>167</v>
      </c>
      <c r="AK244" s="1"/>
      <c r="AL244" s="1"/>
      <c r="AM244" s="1" t="s">
        <v>65</v>
      </c>
      <c r="AN244" s="1" t="s">
        <v>168</v>
      </c>
      <c r="AO244" s="1"/>
      <c r="AP244" s="2">
        <v>43812.8175115741</v>
      </c>
      <c r="AQ244" s="1"/>
      <c r="AR244" s="1" t="s">
        <v>603</v>
      </c>
      <c r="AS244" s="1"/>
      <c r="AT244" s="2">
        <v>44269.931099537</v>
      </c>
    </row>
    <row r="245" ht="13.5" customHeight="1">
      <c r="A245" s="1"/>
      <c r="B245" s="1" t="s">
        <v>46</v>
      </c>
      <c r="C245" s="1" t="s">
        <v>47</v>
      </c>
      <c r="D245" s="1"/>
      <c r="E245" s="1" t="s">
        <v>1344</v>
      </c>
      <c r="F245" s="1"/>
      <c r="G245" s="1" t="s">
        <v>49</v>
      </c>
      <c r="H245" s="1" t="s">
        <v>50</v>
      </c>
      <c r="I245" s="1">
        <v>1500.0</v>
      </c>
      <c r="J245" s="1"/>
      <c r="K245" s="1" t="s">
        <v>51</v>
      </c>
      <c r="L245" s="1"/>
      <c r="M245" s="1" t="s">
        <v>1345</v>
      </c>
      <c r="N245" s="1" t="s">
        <v>123</v>
      </c>
      <c r="O245" s="1" t="s">
        <v>73</v>
      </c>
      <c r="P245" s="2">
        <v>43812.7528472222</v>
      </c>
      <c r="Q245" s="1" t="s">
        <v>74</v>
      </c>
      <c r="R245" s="3">
        <v>43812.0</v>
      </c>
      <c r="S245" s="1"/>
      <c r="T245" s="1">
        <v>3549904.0</v>
      </c>
      <c r="U245" s="1" t="s">
        <v>1346</v>
      </c>
      <c r="V245" s="1" t="s">
        <v>58</v>
      </c>
      <c r="W245" s="1" t="s">
        <v>59</v>
      </c>
      <c r="X245" s="1"/>
      <c r="Y245" s="1"/>
      <c r="Z245" s="1" t="s">
        <v>76</v>
      </c>
      <c r="AA245" s="1" t="s">
        <v>1347</v>
      </c>
      <c r="AB245" s="1" t="str">
        <f>"***996478**"</f>
        <v>***996478**</v>
      </c>
      <c r="AC245" s="1"/>
      <c r="AD245" s="1" t="s">
        <v>149</v>
      </c>
      <c r="AE245" s="1"/>
      <c r="AF245" s="1">
        <v>-46.668611</v>
      </c>
      <c r="AG245" s="1">
        <v>-23.559722</v>
      </c>
      <c r="AH245" s="1" t="s">
        <v>1348</v>
      </c>
      <c r="AI245" s="1"/>
      <c r="AJ245" s="1" t="s">
        <v>64</v>
      </c>
      <c r="AK245" s="1"/>
      <c r="AL245" s="1"/>
      <c r="AM245" s="1" t="s">
        <v>65</v>
      </c>
      <c r="AN245" s="1"/>
      <c r="AO245" s="1"/>
      <c r="AP245" s="2">
        <v>44251.8072916667</v>
      </c>
      <c r="AQ245" s="1"/>
      <c r="AR245" s="1" t="s">
        <v>396</v>
      </c>
      <c r="AS245" s="1" t="s">
        <v>82</v>
      </c>
      <c r="AT245" s="2">
        <v>44269.931099537</v>
      </c>
    </row>
    <row r="246" ht="13.5" customHeight="1">
      <c r="A246" s="1">
        <v>2042749.0</v>
      </c>
      <c r="B246" s="1" t="s">
        <v>67</v>
      </c>
      <c r="C246" s="1" t="s">
        <v>68</v>
      </c>
      <c r="D246" s="1" t="s">
        <v>46</v>
      </c>
      <c r="E246" s="1" t="s">
        <v>1349</v>
      </c>
      <c r="F246" s="1"/>
      <c r="G246" s="1" t="s">
        <v>70</v>
      </c>
      <c r="H246" s="1" t="s">
        <v>93</v>
      </c>
      <c r="I246" s="1">
        <v>50500.0</v>
      </c>
      <c r="J246" s="1"/>
      <c r="K246" s="1"/>
      <c r="L246" s="1" t="s">
        <v>106</v>
      </c>
      <c r="M246" s="1" t="s">
        <v>1350</v>
      </c>
      <c r="N246" s="1" t="s">
        <v>72</v>
      </c>
      <c r="O246" s="1" t="s">
        <v>213</v>
      </c>
      <c r="P246" s="2">
        <v>43812.75</v>
      </c>
      <c r="Q246" s="1" t="s">
        <v>74</v>
      </c>
      <c r="R246" s="1"/>
      <c r="S246" s="1"/>
      <c r="T246" s="1">
        <v>2205706.0</v>
      </c>
      <c r="U246" s="1" t="s">
        <v>1351</v>
      </c>
      <c r="V246" s="1" t="s">
        <v>895</v>
      </c>
      <c r="W246" s="1" t="s">
        <v>288</v>
      </c>
      <c r="X246" s="1"/>
      <c r="Y246" s="1"/>
      <c r="Z246" s="1" t="s">
        <v>215</v>
      </c>
      <c r="AA246" s="1" t="s">
        <v>1352</v>
      </c>
      <c r="AB246" s="1" t="str">
        <f>"01990250000189"</f>
        <v>01990250000189</v>
      </c>
      <c r="AC246" s="1"/>
      <c r="AD246" s="1"/>
      <c r="AE246" s="1"/>
      <c r="AF246" s="1">
        <v>-41.666389</v>
      </c>
      <c r="AG246" s="1">
        <v>-2.877778</v>
      </c>
      <c r="AH246" s="1" t="s">
        <v>1353</v>
      </c>
      <c r="AI246" s="1"/>
      <c r="AJ246" s="1" t="s">
        <v>106</v>
      </c>
      <c r="AK246" s="1"/>
      <c r="AL246" s="1" t="s">
        <v>79</v>
      </c>
      <c r="AM246" s="1" t="s">
        <v>65</v>
      </c>
      <c r="AN246" s="1" t="s">
        <v>1321</v>
      </c>
      <c r="AO246" s="2">
        <v>44216.0</v>
      </c>
      <c r="AP246" s="2">
        <v>44216.6456712963</v>
      </c>
      <c r="AQ246" s="1" t="s">
        <v>80</v>
      </c>
      <c r="AR246" s="1" t="s">
        <v>1334</v>
      </c>
      <c r="AS246" s="1" t="s">
        <v>1354</v>
      </c>
      <c r="AT246" s="2">
        <v>44269.931099537</v>
      </c>
    </row>
    <row r="247" ht="13.5" customHeight="1">
      <c r="A247" s="1"/>
      <c r="B247" s="1" t="s">
        <v>46</v>
      </c>
      <c r="C247" s="1" t="s">
        <v>47</v>
      </c>
      <c r="D247" s="1"/>
      <c r="E247" s="1" t="s">
        <v>1355</v>
      </c>
      <c r="F247" s="1"/>
      <c r="G247" s="1" t="s">
        <v>49</v>
      </c>
      <c r="H247" s="1" t="s">
        <v>50</v>
      </c>
      <c r="I247" s="1">
        <v>100000.0</v>
      </c>
      <c r="J247" s="1"/>
      <c r="K247" s="1" t="s">
        <v>51</v>
      </c>
      <c r="L247" s="1"/>
      <c r="M247" s="1" t="s">
        <v>1356</v>
      </c>
      <c r="N247" s="1" t="s">
        <v>283</v>
      </c>
      <c r="O247" s="1" t="s">
        <v>1133</v>
      </c>
      <c r="P247" s="2">
        <v>43812.7495833333</v>
      </c>
      <c r="Q247" s="1" t="s">
        <v>74</v>
      </c>
      <c r="R247" s="1"/>
      <c r="S247" s="1"/>
      <c r="T247" s="1">
        <v>3520400.0</v>
      </c>
      <c r="U247" s="1" t="s">
        <v>1357</v>
      </c>
      <c r="V247" s="1" t="s">
        <v>58</v>
      </c>
      <c r="W247" s="1" t="s">
        <v>288</v>
      </c>
      <c r="X247" s="1"/>
      <c r="Y247" s="1"/>
      <c r="Z247" s="1" t="s">
        <v>128</v>
      </c>
      <c r="AA247" s="1" t="s">
        <v>1358</v>
      </c>
      <c r="AB247" s="1" t="str">
        <f>"33000167089501"</f>
        <v>33000167089501</v>
      </c>
      <c r="AC247" s="1"/>
      <c r="AD247" s="1" t="s">
        <v>149</v>
      </c>
      <c r="AE247" s="1"/>
      <c r="AF247" s="1">
        <v>-43.206112</v>
      </c>
      <c r="AG247" s="1">
        <v>-25.672777</v>
      </c>
      <c r="AH247" s="1" t="s">
        <v>1359</v>
      </c>
      <c r="AI247" s="1"/>
      <c r="AJ247" s="1" t="s">
        <v>172</v>
      </c>
      <c r="AK247" s="1"/>
      <c r="AL247" s="1"/>
      <c r="AM247" s="1" t="s">
        <v>65</v>
      </c>
      <c r="AN247" s="1" t="s">
        <v>720</v>
      </c>
      <c r="AO247" s="1"/>
      <c r="AP247" s="2">
        <v>44013.7152314815</v>
      </c>
      <c r="AQ247" s="1"/>
      <c r="AR247" s="1" t="s">
        <v>1360</v>
      </c>
      <c r="AS247" s="1" t="s">
        <v>1361</v>
      </c>
      <c r="AT247" s="2">
        <v>44269.931099537</v>
      </c>
    </row>
    <row r="248" ht="13.5" customHeight="1">
      <c r="A248" s="1"/>
      <c r="B248" s="1" t="s">
        <v>46</v>
      </c>
      <c r="C248" s="1" t="s">
        <v>47</v>
      </c>
      <c r="D248" s="1"/>
      <c r="E248" s="1" t="s">
        <v>1362</v>
      </c>
      <c r="F248" s="1"/>
      <c r="G248" s="1" t="s">
        <v>49</v>
      </c>
      <c r="H248" s="1" t="s">
        <v>93</v>
      </c>
      <c r="I248" s="1">
        <v>20000.0</v>
      </c>
      <c r="J248" s="1"/>
      <c r="K248" s="1" t="s">
        <v>51</v>
      </c>
      <c r="L248" s="1"/>
      <c r="M248" s="1" t="s">
        <v>1363</v>
      </c>
      <c r="N248" s="1" t="s">
        <v>72</v>
      </c>
      <c r="O248" s="1" t="s">
        <v>1364</v>
      </c>
      <c r="P248" s="2">
        <v>43812.741099537</v>
      </c>
      <c r="Q248" s="1" t="s">
        <v>74</v>
      </c>
      <c r="R248" s="1"/>
      <c r="S248" s="1"/>
      <c r="T248" s="1">
        <v>2300200.0</v>
      </c>
      <c r="U248" s="1" t="s">
        <v>1365</v>
      </c>
      <c r="V248" s="1" t="s">
        <v>112</v>
      </c>
      <c r="W248" s="1" t="s">
        <v>288</v>
      </c>
      <c r="X248" s="1"/>
      <c r="Y248" s="1"/>
      <c r="Z248" s="1"/>
      <c r="AA248" s="1" t="s">
        <v>1366</v>
      </c>
      <c r="AB248" s="1" t="str">
        <f>"***661933**"</f>
        <v>***661933**</v>
      </c>
      <c r="AC248" s="1"/>
      <c r="AD248" s="1" t="s">
        <v>62</v>
      </c>
      <c r="AE248" s="1"/>
      <c r="AF248" s="1">
        <v>-40.355278</v>
      </c>
      <c r="AG248" s="1">
        <v>-2.809167</v>
      </c>
      <c r="AH248" s="1" t="s">
        <v>1367</v>
      </c>
      <c r="AI248" s="1"/>
      <c r="AJ248" s="1" t="s">
        <v>106</v>
      </c>
      <c r="AK248" s="1"/>
      <c r="AL248" s="1"/>
      <c r="AM248" s="1" t="s">
        <v>65</v>
      </c>
      <c r="AN248" s="1" t="s">
        <v>1321</v>
      </c>
      <c r="AO248" s="1"/>
      <c r="AP248" s="2">
        <v>43812.7634027778</v>
      </c>
      <c r="AQ248" s="1"/>
      <c r="AR248" s="1" t="s">
        <v>229</v>
      </c>
      <c r="AS248" s="1" t="s">
        <v>1368</v>
      </c>
      <c r="AT248" s="2">
        <v>44269.931099537</v>
      </c>
    </row>
    <row r="249" ht="13.5" customHeight="1">
      <c r="A249" s="1"/>
      <c r="B249" s="1" t="s">
        <v>46</v>
      </c>
      <c r="C249" s="1" t="s">
        <v>47</v>
      </c>
      <c r="D249" s="1"/>
      <c r="E249" s="1" t="s">
        <v>1369</v>
      </c>
      <c r="F249" s="1"/>
      <c r="G249" s="1" t="s">
        <v>49</v>
      </c>
      <c r="H249" s="1" t="s">
        <v>50</v>
      </c>
      <c r="I249" s="1">
        <v>100000.0</v>
      </c>
      <c r="J249" s="1"/>
      <c r="K249" s="1" t="s">
        <v>51</v>
      </c>
      <c r="L249" s="1"/>
      <c r="M249" s="1" t="s">
        <v>1370</v>
      </c>
      <c r="N249" s="1" t="s">
        <v>283</v>
      </c>
      <c r="O249" s="1" t="s">
        <v>1133</v>
      </c>
      <c r="P249" s="2">
        <v>43812.7374768519</v>
      </c>
      <c r="Q249" s="1" t="s">
        <v>74</v>
      </c>
      <c r="R249" s="1"/>
      <c r="S249" s="1"/>
      <c r="T249" s="1">
        <v>3302403.0</v>
      </c>
      <c r="U249" s="1" t="s">
        <v>1371</v>
      </c>
      <c r="V249" s="1" t="s">
        <v>287</v>
      </c>
      <c r="W249" s="1" t="s">
        <v>288</v>
      </c>
      <c r="X249" s="1"/>
      <c r="Y249" s="1"/>
      <c r="Z249" s="1" t="s">
        <v>128</v>
      </c>
      <c r="AA249" s="1" t="s">
        <v>289</v>
      </c>
      <c r="AB249" s="1" t="str">
        <f>"33000167000101"</f>
        <v>33000167000101</v>
      </c>
      <c r="AC249" s="1"/>
      <c r="AD249" s="1" t="s">
        <v>149</v>
      </c>
      <c r="AE249" s="1"/>
      <c r="AF249" s="1">
        <v>-40.066944</v>
      </c>
      <c r="AG249" s="1">
        <v>-22.661943</v>
      </c>
      <c r="AH249" s="1" t="s">
        <v>1372</v>
      </c>
      <c r="AI249" s="1"/>
      <c r="AJ249" s="1" t="s">
        <v>172</v>
      </c>
      <c r="AK249" s="1"/>
      <c r="AL249" s="1"/>
      <c r="AM249" s="1" t="s">
        <v>65</v>
      </c>
      <c r="AN249" s="1" t="s">
        <v>720</v>
      </c>
      <c r="AO249" s="1"/>
      <c r="AP249" s="2">
        <v>44013.7153240741</v>
      </c>
      <c r="AQ249" s="1"/>
      <c r="AR249" s="1" t="s">
        <v>1360</v>
      </c>
      <c r="AS249" s="1" t="s">
        <v>1361</v>
      </c>
      <c r="AT249" s="2">
        <v>44269.931099537</v>
      </c>
    </row>
    <row r="250" ht="13.5" customHeight="1">
      <c r="A250" s="1"/>
      <c r="B250" s="1" t="s">
        <v>46</v>
      </c>
      <c r="C250" s="1" t="s">
        <v>47</v>
      </c>
      <c r="D250" s="1"/>
      <c r="E250" s="1" t="s">
        <v>1373</v>
      </c>
      <c r="F250" s="1"/>
      <c r="G250" s="1" t="s">
        <v>49</v>
      </c>
      <c r="H250" s="1" t="s">
        <v>50</v>
      </c>
      <c r="I250" s="1">
        <v>50500.0</v>
      </c>
      <c r="J250" s="1"/>
      <c r="K250" s="1" t="s">
        <v>140</v>
      </c>
      <c r="L250" s="1"/>
      <c r="M250" s="1" t="s">
        <v>1374</v>
      </c>
      <c r="N250" s="1" t="s">
        <v>212</v>
      </c>
      <c r="O250" s="1" t="s">
        <v>213</v>
      </c>
      <c r="P250" s="2">
        <v>43812.7139236111</v>
      </c>
      <c r="Q250" s="1" t="s">
        <v>74</v>
      </c>
      <c r="R250" s="1"/>
      <c r="S250" s="1"/>
      <c r="T250" s="1">
        <v>2312403.0</v>
      </c>
      <c r="U250" s="1" t="s">
        <v>1375</v>
      </c>
      <c r="V250" s="1" t="s">
        <v>112</v>
      </c>
      <c r="W250" s="1" t="s">
        <v>288</v>
      </c>
      <c r="X250" s="1"/>
      <c r="Y250" s="1"/>
      <c r="Z250" s="1" t="s">
        <v>215</v>
      </c>
      <c r="AA250" s="1" t="s">
        <v>1376</v>
      </c>
      <c r="AB250" s="1" t="str">
        <f>"03503868000100"</f>
        <v>03503868000100</v>
      </c>
      <c r="AC250" s="1"/>
      <c r="AD250" s="1" t="s">
        <v>149</v>
      </c>
      <c r="AE250" s="1"/>
      <c r="AF250" s="1">
        <v>-38.810833</v>
      </c>
      <c r="AG250" s="1">
        <v>-3.547278</v>
      </c>
      <c r="AH250" s="1" t="s">
        <v>1377</v>
      </c>
      <c r="AI250" s="1"/>
      <c r="AJ250" s="1" t="s">
        <v>172</v>
      </c>
      <c r="AK250" s="1"/>
      <c r="AL250" s="1"/>
      <c r="AM250" s="1" t="s">
        <v>65</v>
      </c>
      <c r="AN250" s="1" t="s">
        <v>720</v>
      </c>
      <c r="AO250" s="1"/>
      <c r="AP250" s="2">
        <v>44036.7341203704</v>
      </c>
      <c r="AQ250" s="1"/>
      <c r="AR250" s="1" t="s">
        <v>721</v>
      </c>
      <c r="AS250" s="1" t="s">
        <v>722</v>
      </c>
      <c r="AT250" s="2">
        <v>44269.931099537</v>
      </c>
    </row>
    <row r="251" ht="13.5" customHeight="1">
      <c r="A251" s="1"/>
      <c r="B251" s="1" t="s">
        <v>46</v>
      </c>
      <c r="C251" s="1" t="s">
        <v>47</v>
      </c>
      <c r="D251" s="1"/>
      <c r="E251" s="1" t="s">
        <v>1378</v>
      </c>
      <c r="F251" s="1"/>
      <c r="G251" s="1" t="s">
        <v>49</v>
      </c>
      <c r="H251" s="1" t="s">
        <v>50</v>
      </c>
      <c r="I251" s="1">
        <v>100000.0</v>
      </c>
      <c r="J251" s="1"/>
      <c r="K251" s="1" t="s">
        <v>51</v>
      </c>
      <c r="L251" s="1"/>
      <c r="M251" s="1" t="s">
        <v>1379</v>
      </c>
      <c r="N251" s="1" t="s">
        <v>283</v>
      </c>
      <c r="O251" s="1" t="s">
        <v>1133</v>
      </c>
      <c r="P251" s="2">
        <v>43812.7129513889</v>
      </c>
      <c r="Q251" s="1" t="s">
        <v>74</v>
      </c>
      <c r="R251" s="1"/>
      <c r="S251" s="1"/>
      <c r="T251" s="1">
        <v>3204302.0</v>
      </c>
      <c r="U251" s="1" t="s">
        <v>1380</v>
      </c>
      <c r="V251" s="1" t="s">
        <v>403</v>
      </c>
      <c r="W251" s="1" t="s">
        <v>288</v>
      </c>
      <c r="X251" s="1"/>
      <c r="Y251" s="1"/>
      <c r="Z251" s="1" t="s">
        <v>128</v>
      </c>
      <c r="AA251" s="1" t="s">
        <v>1381</v>
      </c>
      <c r="AB251" s="1" t="str">
        <f>"33000167000454"</f>
        <v>33000167000454</v>
      </c>
      <c r="AC251" s="1"/>
      <c r="AD251" s="1" t="s">
        <v>149</v>
      </c>
      <c r="AE251" s="1"/>
      <c r="AF251" s="1">
        <v>-39.966389</v>
      </c>
      <c r="AG251" s="1">
        <v>-22.130001</v>
      </c>
      <c r="AH251" s="1" t="s">
        <v>1382</v>
      </c>
      <c r="AI251" s="1"/>
      <c r="AJ251" s="1" t="s">
        <v>172</v>
      </c>
      <c r="AK251" s="1"/>
      <c r="AL251" s="1"/>
      <c r="AM251" s="1" t="s">
        <v>65</v>
      </c>
      <c r="AN251" s="1" t="s">
        <v>720</v>
      </c>
      <c r="AO251" s="1"/>
      <c r="AP251" s="2">
        <v>44013.7154050926</v>
      </c>
      <c r="AQ251" s="1"/>
      <c r="AR251" s="1" t="s">
        <v>1360</v>
      </c>
      <c r="AS251" s="1" t="s">
        <v>1361</v>
      </c>
      <c r="AT251" s="2">
        <v>44269.931099537</v>
      </c>
    </row>
    <row r="252" ht="13.5" customHeight="1">
      <c r="A252" s="1">
        <v>2035465.0</v>
      </c>
      <c r="B252" s="1" t="s">
        <v>67</v>
      </c>
      <c r="C252" s="1" t="s">
        <v>68</v>
      </c>
      <c r="D252" s="1" t="s">
        <v>46</v>
      </c>
      <c r="E252" s="1" t="s">
        <v>1383</v>
      </c>
      <c r="F252" s="1"/>
      <c r="G252" s="1" t="s">
        <v>70</v>
      </c>
      <c r="H252" s="1" t="s">
        <v>93</v>
      </c>
      <c r="I252" s="1">
        <v>5000.0</v>
      </c>
      <c r="J252" s="1"/>
      <c r="K252" s="1"/>
      <c r="L252" s="1" t="s">
        <v>106</v>
      </c>
      <c r="M252" s="1" t="s">
        <v>1384</v>
      </c>
      <c r="N252" s="1" t="s">
        <v>95</v>
      </c>
      <c r="O252" s="1"/>
      <c r="P252" s="2">
        <v>43812.7090277778</v>
      </c>
      <c r="Q252" s="1" t="s">
        <v>74</v>
      </c>
      <c r="R252" s="1"/>
      <c r="S252" s="1"/>
      <c r="T252" s="1">
        <v>2313203.0</v>
      </c>
      <c r="U252" s="1" t="s">
        <v>1385</v>
      </c>
      <c r="V252" s="1" t="s">
        <v>112</v>
      </c>
      <c r="W252" s="1" t="s">
        <v>113</v>
      </c>
      <c r="X252" s="1"/>
      <c r="Y252" s="1" t="str">
        <f>"02007000080202011"</f>
        <v>02007000080202011</v>
      </c>
      <c r="Z252" s="1" t="s">
        <v>1267</v>
      </c>
      <c r="AA252" s="1" t="s">
        <v>1386</v>
      </c>
      <c r="AB252" s="1" t="str">
        <f>"***799973**"</f>
        <v>***799973**</v>
      </c>
      <c r="AC252" s="1"/>
      <c r="AD252" s="1" t="s">
        <v>116</v>
      </c>
      <c r="AE252" s="1"/>
      <c r="AF252" s="1">
        <v>0.0</v>
      </c>
      <c r="AG252" s="1">
        <v>0.0</v>
      </c>
      <c r="AH252" s="1" t="s">
        <v>1387</v>
      </c>
      <c r="AI252" s="1"/>
      <c r="AJ252" s="1"/>
      <c r="AK252" s="1"/>
      <c r="AL252" s="1" t="s">
        <v>118</v>
      </c>
      <c r="AM252" s="1"/>
      <c r="AN252" s="1"/>
      <c r="AO252" s="2">
        <v>43906.3979282407</v>
      </c>
      <c r="AP252" s="2">
        <v>43906.3979282407</v>
      </c>
      <c r="AQ252" s="1" t="s">
        <v>80</v>
      </c>
      <c r="AR252" s="1" t="s">
        <v>1301</v>
      </c>
      <c r="AS252" s="1"/>
      <c r="AT252" s="2">
        <v>44269.931099537</v>
      </c>
    </row>
    <row r="253" ht="13.5" customHeight="1">
      <c r="A253" s="1"/>
      <c r="B253" s="1" t="s">
        <v>46</v>
      </c>
      <c r="C253" s="1" t="s">
        <v>47</v>
      </c>
      <c r="D253" s="1"/>
      <c r="E253" s="1" t="s">
        <v>1388</v>
      </c>
      <c r="F253" s="1"/>
      <c r="G253" s="1" t="s">
        <v>49</v>
      </c>
      <c r="H253" s="1" t="s">
        <v>50</v>
      </c>
      <c r="I253" s="1">
        <v>200000.0</v>
      </c>
      <c r="J253" s="1"/>
      <c r="K253" s="1" t="s">
        <v>51</v>
      </c>
      <c r="L253" s="1"/>
      <c r="M253" s="1" t="s">
        <v>1389</v>
      </c>
      <c r="N253" s="1" t="s">
        <v>283</v>
      </c>
      <c r="O253" s="1" t="s">
        <v>1133</v>
      </c>
      <c r="P253" s="2">
        <v>43812.7068171296</v>
      </c>
      <c r="Q253" s="1" t="s">
        <v>74</v>
      </c>
      <c r="R253" s="1"/>
      <c r="S253" s="1"/>
      <c r="T253" s="1">
        <v>3204302.0</v>
      </c>
      <c r="U253" s="1" t="s">
        <v>1380</v>
      </c>
      <c r="V253" s="1" t="s">
        <v>403</v>
      </c>
      <c r="W253" s="1" t="s">
        <v>288</v>
      </c>
      <c r="X253" s="1"/>
      <c r="Y253" s="1"/>
      <c r="Z253" s="1" t="s">
        <v>128</v>
      </c>
      <c r="AA253" s="1" t="s">
        <v>1381</v>
      </c>
      <c r="AB253" s="1" t="str">
        <f>"33000167000454"</f>
        <v>33000167000454</v>
      </c>
      <c r="AC253" s="1"/>
      <c r="AD253" s="1" t="s">
        <v>149</v>
      </c>
      <c r="AE253" s="1"/>
      <c r="AF253" s="1">
        <v>-39.966389</v>
      </c>
      <c r="AG253" s="1">
        <v>-22.124445</v>
      </c>
      <c r="AH253" s="1" t="s">
        <v>1382</v>
      </c>
      <c r="AI253" s="1"/>
      <c r="AJ253" s="1" t="s">
        <v>172</v>
      </c>
      <c r="AK253" s="1"/>
      <c r="AL253" s="1"/>
      <c r="AM253" s="1" t="s">
        <v>65</v>
      </c>
      <c r="AN253" s="1" t="s">
        <v>720</v>
      </c>
      <c r="AO253" s="1"/>
      <c r="AP253" s="2">
        <v>44013.7154976852</v>
      </c>
      <c r="AQ253" s="1"/>
      <c r="AR253" s="1" t="s">
        <v>1360</v>
      </c>
      <c r="AS253" s="1" t="s">
        <v>1361</v>
      </c>
      <c r="AT253" s="2">
        <v>44269.931099537</v>
      </c>
    </row>
    <row r="254" ht="13.5" customHeight="1">
      <c r="A254" s="1">
        <v>2035216.0</v>
      </c>
      <c r="B254" s="1" t="s">
        <v>67</v>
      </c>
      <c r="C254" s="1" t="s">
        <v>68</v>
      </c>
      <c r="D254" s="1" t="s">
        <v>46</v>
      </c>
      <c r="E254" s="1" t="s">
        <v>1390</v>
      </c>
      <c r="F254" s="1"/>
      <c r="G254" s="1" t="s">
        <v>70</v>
      </c>
      <c r="H254" s="1" t="s">
        <v>93</v>
      </c>
      <c r="I254" s="1">
        <v>315000.0</v>
      </c>
      <c r="J254" s="1"/>
      <c r="K254" s="1"/>
      <c r="L254" s="1" t="s">
        <v>172</v>
      </c>
      <c r="M254" s="1" t="s">
        <v>1391</v>
      </c>
      <c r="N254" s="1" t="s">
        <v>142</v>
      </c>
      <c r="O254" s="1" t="s">
        <v>143</v>
      </c>
      <c r="P254" s="2">
        <v>43812.6666666667</v>
      </c>
      <c r="Q254" s="1" t="s">
        <v>74</v>
      </c>
      <c r="R254" s="3">
        <v>43477.0</v>
      </c>
      <c r="S254" s="1"/>
      <c r="T254" s="1">
        <v>1100080.0</v>
      </c>
      <c r="U254" s="1" t="s">
        <v>1392</v>
      </c>
      <c r="V254" s="1" t="s">
        <v>448</v>
      </c>
      <c r="W254" s="1" t="s">
        <v>177</v>
      </c>
      <c r="X254" s="1"/>
      <c r="Y254" s="1" t="str">
        <f>"02001006236202027"</f>
        <v>02001006236202027</v>
      </c>
      <c r="Z254" s="1" t="s">
        <v>147</v>
      </c>
      <c r="AA254" s="1" t="s">
        <v>1393</v>
      </c>
      <c r="AB254" s="1" t="str">
        <f>"***838502**"</f>
        <v>***838502**</v>
      </c>
      <c r="AC254" s="1"/>
      <c r="AD254" s="1"/>
      <c r="AE254" s="1"/>
      <c r="AF254" s="1">
        <v>-62.04361</v>
      </c>
      <c r="AG254" s="1">
        <v>-12.351111</v>
      </c>
      <c r="AH254" s="1" t="s">
        <v>1394</v>
      </c>
      <c r="AI254" s="1"/>
      <c r="AJ254" s="1" t="s">
        <v>172</v>
      </c>
      <c r="AK254" s="1"/>
      <c r="AL254" s="1" t="s">
        <v>79</v>
      </c>
      <c r="AM254" s="1" t="s">
        <v>65</v>
      </c>
      <c r="AN254" s="1" t="s">
        <v>1395</v>
      </c>
      <c r="AO254" s="2">
        <v>43896.0</v>
      </c>
      <c r="AP254" s="2">
        <v>43896.6669791667</v>
      </c>
      <c r="AQ254" s="1" t="s">
        <v>80</v>
      </c>
      <c r="AR254" s="1" t="s">
        <v>650</v>
      </c>
      <c r="AS254" s="1"/>
      <c r="AT254" s="2">
        <v>44269.931099537</v>
      </c>
    </row>
    <row r="255" ht="13.5" customHeight="1">
      <c r="A255" s="1"/>
      <c r="B255" s="1" t="s">
        <v>46</v>
      </c>
      <c r="C255" s="1" t="s">
        <v>47</v>
      </c>
      <c r="D255" s="1"/>
      <c r="E255" s="1" t="s">
        <v>1396</v>
      </c>
      <c r="F255" s="1"/>
      <c r="G255" s="1" t="s">
        <v>49</v>
      </c>
      <c r="H255" s="1" t="s">
        <v>50</v>
      </c>
      <c r="I255" s="1">
        <v>1500.0</v>
      </c>
      <c r="J255" s="1"/>
      <c r="K255" s="1" t="s">
        <v>51</v>
      </c>
      <c r="L255" s="1"/>
      <c r="M255" s="1" t="s">
        <v>1397</v>
      </c>
      <c r="N255" s="1" t="s">
        <v>123</v>
      </c>
      <c r="O255" s="1" t="s">
        <v>73</v>
      </c>
      <c r="P255" s="2">
        <v>43812.6631944444</v>
      </c>
      <c r="Q255" s="1" t="s">
        <v>74</v>
      </c>
      <c r="R255" s="3">
        <v>43812.0</v>
      </c>
      <c r="S255" s="1"/>
      <c r="T255" s="1">
        <v>3523107.0</v>
      </c>
      <c r="U255" s="1" t="s">
        <v>1398</v>
      </c>
      <c r="V255" s="1" t="s">
        <v>58</v>
      </c>
      <c r="W255" s="1" t="s">
        <v>59</v>
      </c>
      <c r="X255" s="1"/>
      <c r="Y255" s="1"/>
      <c r="Z255" s="1" t="s">
        <v>76</v>
      </c>
      <c r="AA255" s="1" t="s">
        <v>1399</v>
      </c>
      <c r="AB255" s="1" t="str">
        <f>"***585288**"</f>
        <v>***585288**</v>
      </c>
      <c r="AC255" s="1"/>
      <c r="AD255" s="1" t="s">
        <v>149</v>
      </c>
      <c r="AE255" s="1"/>
      <c r="AF255" s="1">
        <v>-46.668611</v>
      </c>
      <c r="AG255" s="1">
        <v>-23.559722</v>
      </c>
      <c r="AH255" s="1" t="s">
        <v>1400</v>
      </c>
      <c r="AI255" s="1"/>
      <c r="AJ255" s="1" t="s">
        <v>64</v>
      </c>
      <c r="AK255" s="1"/>
      <c r="AL255" s="1"/>
      <c r="AM255" s="1" t="s">
        <v>65</v>
      </c>
      <c r="AN255" s="1"/>
      <c r="AO255" s="1"/>
      <c r="AP255" s="2">
        <v>44251.8074537037</v>
      </c>
      <c r="AQ255" s="1"/>
      <c r="AR255" s="1" t="s">
        <v>396</v>
      </c>
      <c r="AS255" s="1"/>
      <c r="AT255" s="2">
        <v>44269.931099537</v>
      </c>
    </row>
    <row r="256" ht="13.5" customHeight="1">
      <c r="A256" s="1">
        <v>2038102.0</v>
      </c>
      <c r="B256" s="1" t="s">
        <v>67</v>
      </c>
      <c r="C256" s="1" t="s">
        <v>68</v>
      </c>
      <c r="D256" s="1" t="s">
        <v>46</v>
      </c>
      <c r="E256" s="1" t="s">
        <v>1401</v>
      </c>
      <c r="F256" s="1"/>
      <c r="G256" s="1" t="s">
        <v>70</v>
      </c>
      <c r="H256" s="1" t="s">
        <v>93</v>
      </c>
      <c r="I256" s="1">
        <v>9000.0</v>
      </c>
      <c r="J256" s="1"/>
      <c r="K256" s="1"/>
      <c r="L256" s="1" t="s">
        <v>569</v>
      </c>
      <c r="M256" s="1" t="s">
        <v>1402</v>
      </c>
      <c r="N256" s="1" t="s">
        <v>142</v>
      </c>
      <c r="O256" s="1" t="s">
        <v>143</v>
      </c>
      <c r="P256" s="2">
        <v>43812.625</v>
      </c>
      <c r="Q256" s="1" t="s">
        <v>373</v>
      </c>
      <c r="R256" s="3">
        <v>43812.0</v>
      </c>
      <c r="S256" s="1"/>
      <c r="T256" s="1">
        <v>2803500.0</v>
      </c>
      <c r="U256" s="1" t="s">
        <v>565</v>
      </c>
      <c r="V256" s="1" t="s">
        <v>566</v>
      </c>
      <c r="W256" s="1" t="s">
        <v>177</v>
      </c>
      <c r="X256" s="1"/>
      <c r="Y256" s="1" t="str">
        <f>"02028000596202017"</f>
        <v>02028000596202017</v>
      </c>
      <c r="Z256" s="1" t="s">
        <v>147</v>
      </c>
      <c r="AA256" s="1" t="s">
        <v>1403</v>
      </c>
      <c r="AB256" s="1" t="str">
        <f>"10623942000180"</f>
        <v>10623942000180</v>
      </c>
      <c r="AC256" s="1"/>
      <c r="AD256" s="1" t="s">
        <v>116</v>
      </c>
      <c r="AE256" s="1"/>
      <c r="AF256" s="1">
        <v>-37.4375</v>
      </c>
      <c r="AG256" s="1">
        <v>-10.531389</v>
      </c>
      <c r="AH256" s="1" t="s">
        <v>1404</v>
      </c>
      <c r="AI256" s="1"/>
      <c r="AJ256" s="1" t="s">
        <v>569</v>
      </c>
      <c r="AK256" s="1" t="s">
        <v>1405</v>
      </c>
      <c r="AL256" s="1" t="s">
        <v>79</v>
      </c>
      <c r="AM256" s="1" t="s">
        <v>65</v>
      </c>
      <c r="AN256" s="1" t="s">
        <v>570</v>
      </c>
      <c r="AO256" s="2">
        <v>44021.0</v>
      </c>
      <c r="AP256" s="2">
        <v>44025.4109375</v>
      </c>
      <c r="AQ256" s="1" t="s">
        <v>80</v>
      </c>
      <c r="AR256" s="1" t="s">
        <v>1406</v>
      </c>
      <c r="AS256" s="1" t="s">
        <v>1407</v>
      </c>
      <c r="AT256" s="2">
        <v>44269.931099537</v>
      </c>
    </row>
    <row r="257" ht="13.5" customHeight="1">
      <c r="A257" s="1">
        <v>2043702.0</v>
      </c>
      <c r="B257" s="1" t="s">
        <v>67</v>
      </c>
      <c r="C257" s="1" t="s">
        <v>68</v>
      </c>
      <c r="D257" s="1" t="s">
        <v>46</v>
      </c>
      <c r="E257" s="1" t="s">
        <v>1408</v>
      </c>
      <c r="F257" s="1"/>
      <c r="G257" s="1" t="s">
        <v>70</v>
      </c>
      <c r="H257" s="1" t="s">
        <v>93</v>
      </c>
      <c r="I257" s="1">
        <v>500.0</v>
      </c>
      <c r="J257" s="1"/>
      <c r="K257" s="1"/>
      <c r="L257" s="1" t="s">
        <v>1040</v>
      </c>
      <c r="M257" s="1" t="s">
        <v>1409</v>
      </c>
      <c r="N257" s="1" t="s">
        <v>72</v>
      </c>
      <c r="O257" s="1" t="s">
        <v>213</v>
      </c>
      <c r="P257" s="2">
        <v>43812.625</v>
      </c>
      <c r="Q257" s="1" t="s">
        <v>373</v>
      </c>
      <c r="R257" s="3">
        <v>43812.0</v>
      </c>
      <c r="S257" s="1"/>
      <c r="T257" s="1">
        <v>2601102.0</v>
      </c>
      <c r="U257" s="1" t="s">
        <v>1276</v>
      </c>
      <c r="V257" s="1" t="s">
        <v>1037</v>
      </c>
      <c r="W257" s="1" t="s">
        <v>113</v>
      </c>
      <c r="X257" s="1"/>
      <c r="Y257" s="1" t="str">
        <f t="shared" ref="Y257:Y258" si="13">"02019000685202072"</f>
        <v>02019000685202072</v>
      </c>
      <c r="Z257" s="1" t="s">
        <v>215</v>
      </c>
      <c r="AA257" s="1" t="s">
        <v>1410</v>
      </c>
      <c r="AB257" s="1" t="str">
        <f t="shared" ref="AB257:AB258" si="14">"10881684000131"</f>
        <v>10881684000131</v>
      </c>
      <c r="AC257" s="1"/>
      <c r="AD257" s="1"/>
      <c r="AE257" s="1"/>
      <c r="AF257" s="1">
        <v>-40.493889</v>
      </c>
      <c r="AG257" s="1">
        <v>-7.702222</v>
      </c>
      <c r="AH257" s="1" t="s">
        <v>1411</v>
      </c>
      <c r="AI257" s="1"/>
      <c r="AJ257" s="1" t="s">
        <v>1040</v>
      </c>
      <c r="AK257" s="1"/>
      <c r="AL257" s="1" t="s">
        <v>79</v>
      </c>
      <c r="AM257" s="1" t="s">
        <v>65</v>
      </c>
      <c r="AN257" s="1" t="s">
        <v>1279</v>
      </c>
      <c r="AO257" s="2">
        <v>44249.0</v>
      </c>
      <c r="AP257" s="2">
        <v>44249.7904282407</v>
      </c>
      <c r="AQ257" s="1" t="s">
        <v>80</v>
      </c>
      <c r="AR257" s="1" t="s">
        <v>909</v>
      </c>
      <c r="AS257" s="1"/>
      <c r="AT257" s="2">
        <v>44269.931099537</v>
      </c>
    </row>
    <row r="258" ht="13.5" customHeight="1">
      <c r="A258" s="1">
        <v>2043339.0</v>
      </c>
      <c r="B258" s="1" t="s">
        <v>67</v>
      </c>
      <c r="C258" s="1" t="s">
        <v>68</v>
      </c>
      <c r="D258" s="1" t="s">
        <v>46</v>
      </c>
      <c r="E258" s="1" t="s">
        <v>1412</v>
      </c>
      <c r="F258" s="1"/>
      <c r="G258" s="1" t="s">
        <v>70</v>
      </c>
      <c r="H258" s="1" t="s">
        <v>93</v>
      </c>
      <c r="I258" s="1">
        <v>500.0</v>
      </c>
      <c r="J258" s="1"/>
      <c r="K258" s="1"/>
      <c r="L258" s="1" t="s">
        <v>1040</v>
      </c>
      <c r="M258" s="1" t="s">
        <v>1413</v>
      </c>
      <c r="N258" s="1" t="s">
        <v>72</v>
      </c>
      <c r="O258" s="1"/>
      <c r="P258" s="2">
        <v>43812.60625</v>
      </c>
      <c r="Q258" s="1" t="s">
        <v>373</v>
      </c>
      <c r="R258" s="1"/>
      <c r="S258" s="1"/>
      <c r="T258" s="1">
        <v>2601102.0</v>
      </c>
      <c r="U258" s="1" t="s">
        <v>1276</v>
      </c>
      <c r="V258" s="1" t="s">
        <v>1037</v>
      </c>
      <c r="W258" s="1" t="s">
        <v>127</v>
      </c>
      <c r="X258" s="1"/>
      <c r="Y258" s="1" t="str">
        <f t="shared" si="13"/>
        <v>02019000685202072</v>
      </c>
      <c r="Z258" s="1" t="s">
        <v>215</v>
      </c>
      <c r="AA258" s="1" t="s">
        <v>1410</v>
      </c>
      <c r="AB258" s="1" t="str">
        <f t="shared" si="14"/>
        <v>10881684000131</v>
      </c>
      <c r="AC258" s="1"/>
      <c r="AD258" s="1" t="s">
        <v>116</v>
      </c>
      <c r="AE258" s="1"/>
      <c r="AF258" s="1">
        <v>0.0</v>
      </c>
      <c r="AG258" s="1">
        <v>0.0</v>
      </c>
      <c r="AH258" s="1" t="s">
        <v>1414</v>
      </c>
      <c r="AI258" s="1"/>
      <c r="AJ258" s="1"/>
      <c r="AK258" s="1"/>
      <c r="AL258" s="1" t="s">
        <v>118</v>
      </c>
      <c r="AM258" s="1"/>
      <c r="AN258" s="1"/>
      <c r="AO258" s="2">
        <v>44236.4973263889</v>
      </c>
      <c r="AP258" s="2">
        <v>44236.4976273148</v>
      </c>
      <c r="AQ258" s="1" t="s">
        <v>80</v>
      </c>
      <c r="AR258" s="1" t="s">
        <v>1415</v>
      </c>
      <c r="AS258" s="1"/>
      <c r="AT258" s="2">
        <v>44269.931099537</v>
      </c>
    </row>
    <row r="259" ht="13.5" customHeight="1">
      <c r="A259" s="1"/>
      <c r="B259" s="1" t="s">
        <v>46</v>
      </c>
      <c r="C259" s="1" t="s">
        <v>47</v>
      </c>
      <c r="D259" s="1"/>
      <c r="E259" s="1" t="s">
        <v>1416</v>
      </c>
      <c r="F259" s="1"/>
      <c r="G259" s="1" t="s">
        <v>49</v>
      </c>
      <c r="H259" s="1" t="s">
        <v>50</v>
      </c>
      <c r="I259" s="1">
        <v>1500.0</v>
      </c>
      <c r="J259" s="1"/>
      <c r="K259" s="1" t="s">
        <v>51</v>
      </c>
      <c r="L259" s="1"/>
      <c r="M259" s="1" t="s">
        <v>1417</v>
      </c>
      <c r="N259" s="1" t="s">
        <v>123</v>
      </c>
      <c r="O259" s="1" t="s">
        <v>73</v>
      </c>
      <c r="P259" s="2">
        <v>43812.5836226852</v>
      </c>
      <c r="Q259" s="1" t="s">
        <v>74</v>
      </c>
      <c r="R259" s="3">
        <v>43812.0</v>
      </c>
      <c r="S259" s="1"/>
      <c r="T259" s="1">
        <v>3530706.0</v>
      </c>
      <c r="U259" s="1" t="s">
        <v>1418</v>
      </c>
      <c r="V259" s="1" t="s">
        <v>58</v>
      </c>
      <c r="W259" s="1" t="s">
        <v>59</v>
      </c>
      <c r="X259" s="1"/>
      <c r="Y259" s="1"/>
      <c r="Z259" s="1" t="s">
        <v>76</v>
      </c>
      <c r="AA259" s="1" t="s">
        <v>1419</v>
      </c>
      <c r="AB259" s="1" t="str">
        <f>"***311848**"</f>
        <v>***311848**</v>
      </c>
      <c r="AC259" s="1"/>
      <c r="AD259" s="1" t="s">
        <v>149</v>
      </c>
      <c r="AE259" s="1"/>
      <c r="AF259" s="1">
        <v>-46.668611</v>
      </c>
      <c r="AG259" s="1">
        <v>-23.559722</v>
      </c>
      <c r="AH259" s="1" t="s">
        <v>1420</v>
      </c>
      <c r="AI259" s="1"/>
      <c r="AJ259" s="1" t="s">
        <v>64</v>
      </c>
      <c r="AK259" s="1"/>
      <c r="AL259" s="1"/>
      <c r="AM259" s="1" t="s">
        <v>65</v>
      </c>
      <c r="AN259" s="1"/>
      <c r="AO259" s="1"/>
      <c r="AP259" s="2">
        <v>44251.8084259259</v>
      </c>
      <c r="AQ259" s="1"/>
      <c r="AR259" s="1" t="s">
        <v>396</v>
      </c>
      <c r="AS259" s="1" t="s">
        <v>82</v>
      </c>
      <c r="AT259" s="2">
        <v>44269.931099537</v>
      </c>
    </row>
    <row r="260" ht="13.5" customHeight="1">
      <c r="A260" s="1">
        <v>2035614.0</v>
      </c>
      <c r="B260" s="1" t="s">
        <v>67</v>
      </c>
      <c r="C260" s="1" t="s">
        <v>68</v>
      </c>
      <c r="D260" s="1" t="s">
        <v>46</v>
      </c>
      <c r="E260" s="1" t="s">
        <v>1421</v>
      </c>
      <c r="F260" s="1"/>
      <c r="G260" s="1" t="s">
        <v>70</v>
      </c>
      <c r="H260" s="1" t="s">
        <v>50</v>
      </c>
      <c r="I260" s="1">
        <v>5700.0</v>
      </c>
      <c r="J260" s="1"/>
      <c r="K260" s="1"/>
      <c r="L260" s="1" t="s">
        <v>501</v>
      </c>
      <c r="M260" s="1" t="s">
        <v>1422</v>
      </c>
      <c r="N260" s="1" t="s">
        <v>53</v>
      </c>
      <c r="O260" s="1" t="s">
        <v>54</v>
      </c>
      <c r="P260" s="2">
        <v>43812.5833333333</v>
      </c>
      <c r="Q260" s="1" t="s">
        <v>373</v>
      </c>
      <c r="R260" s="3">
        <v>43812.0</v>
      </c>
      <c r="S260" s="1"/>
      <c r="T260" s="1">
        <v>2408102.0</v>
      </c>
      <c r="U260" s="1" t="s">
        <v>1423</v>
      </c>
      <c r="V260" s="1" t="s">
        <v>1424</v>
      </c>
      <c r="W260" s="1" t="s">
        <v>288</v>
      </c>
      <c r="X260" s="1"/>
      <c r="Y260" s="1" t="str">
        <f>"02021002247201966"</f>
        <v>02021002247201966</v>
      </c>
      <c r="Z260" s="1" t="s">
        <v>60</v>
      </c>
      <c r="AA260" s="1" t="s">
        <v>1425</v>
      </c>
      <c r="AB260" s="1" t="str">
        <f>"***935494**"</f>
        <v>***935494**</v>
      </c>
      <c r="AC260" s="1"/>
      <c r="AD260" s="1"/>
      <c r="AE260" s="1"/>
      <c r="AF260" s="1">
        <v>-35.202225</v>
      </c>
      <c r="AG260" s="1">
        <v>-5.878056</v>
      </c>
      <c r="AH260" s="1" t="s">
        <v>1426</v>
      </c>
      <c r="AI260" s="1"/>
      <c r="AJ260" s="1" t="s">
        <v>501</v>
      </c>
      <c r="AK260" s="1"/>
      <c r="AL260" s="1" t="s">
        <v>79</v>
      </c>
      <c r="AM260" s="1" t="s">
        <v>65</v>
      </c>
      <c r="AN260" s="1" t="s">
        <v>1427</v>
      </c>
      <c r="AO260" s="2">
        <v>43909.0</v>
      </c>
      <c r="AP260" s="2">
        <v>43909.7264351852</v>
      </c>
      <c r="AQ260" s="1" t="s">
        <v>80</v>
      </c>
      <c r="AR260" s="1" t="s">
        <v>1428</v>
      </c>
      <c r="AS260" s="1"/>
      <c r="AT260" s="2">
        <v>44269.931099537</v>
      </c>
    </row>
    <row r="261" ht="13.5" customHeight="1">
      <c r="A261" s="1"/>
      <c r="B261" s="1" t="s">
        <v>46</v>
      </c>
      <c r="C261" s="1" t="s">
        <v>47</v>
      </c>
      <c r="D261" s="1"/>
      <c r="E261" s="1" t="s">
        <v>1429</v>
      </c>
      <c r="F261" s="1"/>
      <c r="G261" s="1" t="s">
        <v>49</v>
      </c>
      <c r="H261" s="1" t="s">
        <v>50</v>
      </c>
      <c r="I261" s="1">
        <v>50500.0</v>
      </c>
      <c r="J261" s="1"/>
      <c r="K261" s="1" t="s">
        <v>51</v>
      </c>
      <c r="L261" s="1"/>
      <c r="M261" s="1" t="s">
        <v>1430</v>
      </c>
      <c r="N261" s="1" t="s">
        <v>212</v>
      </c>
      <c r="O261" s="1" t="s">
        <v>213</v>
      </c>
      <c r="P261" s="2">
        <v>43812.5693402778</v>
      </c>
      <c r="Q261" s="1" t="s">
        <v>74</v>
      </c>
      <c r="R261" s="1"/>
      <c r="S261" s="1"/>
      <c r="T261" s="1">
        <v>2312403.0</v>
      </c>
      <c r="U261" s="1" t="s">
        <v>1375</v>
      </c>
      <c r="V261" s="1" t="s">
        <v>112</v>
      </c>
      <c r="W261" s="1" t="s">
        <v>288</v>
      </c>
      <c r="X261" s="1"/>
      <c r="Y261" s="1"/>
      <c r="Z261" s="1" t="s">
        <v>215</v>
      </c>
      <c r="AA261" s="1" t="s">
        <v>1376</v>
      </c>
      <c r="AB261" s="1" t="str">
        <f>"03503868000100"</f>
        <v>03503868000100</v>
      </c>
      <c r="AC261" s="1"/>
      <c r="AD261" s="1" t="s">
        <v>149</v>
      </c>
      <c r="AE261" s="1"/>
      <c r="AF261" s="1">
        <v>-38.810833</v>
      </c>
      <c r="AG261" s="1">
        <v>-3.5495</v>
      </c>
      <c r="AH261" s="1" t="s">
        <v>1377</v>
      </c>
      <c r="AI261" s="1"/>
      <c r="AJ261" s="1" t="s">
        <v>172</v>
      </c>
      <c r="AK261" s="1"/>
      <c r="AL261" s="1"/>
      <c r="AM261" s="1" t="s">
        <v>65</v>
      </c>
      <c r="AN261" s="1" t="s">
        <v>720</v>
      </c>
      <c r="AO261" s="1"/>
      <c r="AP261" s="2">
        <v>44036.7342824074</v>
      </c>
      <c r="AQ261" s="1"/>
      <c r="AR261" s="1" t="s">
        <v>721</v>
      </c>
      <c r="AS261" s="1" t="s">
        <v>722</v>
      </c>
      <c r="AT261" s="2">
        <v>44269.931099537</v>
      </c>
    </row>
    <row r="262" ht="13.5" customHeight="1">
      <c r="A262" s="1"/>
      <c r="B262" s="1" t="s">
        <v>46</v>
      </c>
      <c r="C262" s="1" t="s">
        <v>47</v>
      </c>
      <c r="D262" s="1"/>
      <c r="E262" s="1" t="s">
        <v>1431</v>
      </c>
      <c r="F262" s="1"/>
      <c r="G262" s="1" t="s">
        <v>121</v>
      </c>
      <c r="H262" s="1"/>
      <c r="I262" s="1"/>
      <c r="J262" s="1"/>
      <c r="K262" s="1"/>
      <c r="L262" s="1"/>
      <c r="M262" s="1" t="s">
        <v>1432</v>
      </c>
      <c r="N262" s="1" t="s">
        <v>142</v>
      </c>
      <c r="O262" s="1" t="s">
        <v>143</v>
      </c>
      <c r="P262" s="2">
        <v>43812.5472222222</v>
      </c>
      <c r="Q262" s="1"/>
      <c r="R262" s="1"/>
      <c r="S262" s="1"/>
      <c r="T262" s="1">
        <v>2207702.0</v>
      </c>
      <c r="U262" s="1" t="s">
        <v>1190</v>
      </c>
      <c r="V262" s="1" t="s">
        <v>895</v>
      </c>
      <c r="W262" s="1" t="s">
        <v>113</v>
      </c>
      <c r="X262" s="1"/>
      <c r="Y262" s="1"/>
      <c r="Z262" s="1" t="s">
        <v>1433</v>
      </c>
      <c r="AA262" s="1" t="s">
        <v>1434</v>
      </c>
      <c r="AB262" s="1" t="str">
        <f>"***545484**"</f>
        <v>***545484**</v>
      </c>
      <c r="AC262" s="1"/>
      <c r="AD262" s="1" t="s">
        <v>62</v>
      </c>
      <c r="AE262" s="1"/>
      <c r="AF262" s="1">
        <v>-41.730278</v>
      </c>
      <c r="AG262" s="1">
        <v>-2.948889</v>
      </c>
      <c r="AH262" s="1" t="s">
        <v>1435</v>
      </c>
      <c r="AI262" s="1"/>
      <c r="AJ262" s="1" t="s">
        <v>898</v>
      </c>
      <c r="AK262" s="1"/>
      <c r="AL262" s="1"/>
      <c r="AM262" s="1" t="s">
        <v>65</v>
      </c>
      <c r="AN262" s="1" t="s">
        <v>152</v>
      </c>
      <c r="AO262" s="1"/>
      <c r="AP262" s="2">
        <v>43812.5599305556</v>
      </c>
      <c r="AQ262" s="1"/>
      <c r="AR262" s="1" t="s">
        <v>1436</v>
      </c>
      <c r="AS262" s="1"/>
      <c r="AT262" s="2">
        <v>44269.931099537</v>
      </c>
    </row>
    <row r="263" ht="13.5" customHeight="1">
      <c r="A263" s="1">
        <v>2035157.0</v>
      </c>
      <c r="B263" s="1" t="s">
        <v>67</v>
      </c>
      <c r="C263" s="1" t="s">
        <v>68</v>
      </c>
      <c r="D263" s="1" t="s">
        <v>46</v>
      </c>
      <c r="E263" s="1" t="s">
        <v>1437</v>
      </c>
      <c r="F263" s="1"/>
      <c r="G263" s="1" t="s">
        <v>70</v>
      </c>
      <c r="H263" s="1" t="s">
        <v>93</v>
      </c>
      <c r="I263" s="1">
        <v>30000.0</v>
      </c>
      <c r="J263" s="1"/>
      <c r="K263" s="1"/>
      <c r="L263" s="1" t="s">
        <v>106</v>
      </c>
      <c r="M263" s="1" t="s">
        <v>1438</v>
      </c>
      <c r="N263" s="1" t="s">
        <v>53</v>
      </c>
      <c r="O263" s="1" t="s">
        <v>54</v>
      </c>
      <c r="P263" s="2">
        <v>43812.5</v>
      </c>
      <c r="Q263" s="1" t="s">
        <v>373</v>
      </c>
      <c r="R263" s="3">
        <v>43812.0</v>
      </c>
      <c r="S263" s="1"/>
      <c r="T263" s="1">
        <v>2305357.0</v>
      </c>
      <c r="U263" s="1" t="s">
        <v>1439</v>
      </c>
      <c r="V263" s="1" t="s">
        <v>112</v>
      </c>
      <c r="W263" s="1" t="s">
        <v>288</v>
      </c>
      <c r="X263" s="1"/>
      <c r="Y263" s="1" t="str">
        <f>"02007000872202095"</f>
        <v>02007000872202095</v>
      </c>
      <c r="Z263" s="1" t="s">
        <v>60</v>
      </c>
      <c r="AA263" s="1" t="s">
        <v>1440</v>
      </c>
      <c r="AB263" s="1" t="str">
        <f>"***733464**"</f>
        <v>***733464**</v>
      </c>
      <c r="AC263" s="1"/>
      <c r="AD263" s="1"/>
      <c r="AE263" s="1"/>
      <c r="AF263" s="1">
        <v>-37.295834</v>
      </c>
      <c r="AG263" s="1">
        <v>-4.753056</v>
      </c>
      <c r="AH263" s="1" t="s">
        <v>1441</v>
      </c>
      <c r="AI263" s="1"/>
      <c r="AJ263" s="1" t="s">
        <v>106</v>
      </c>
      <c r="AK263" s="1"/>
      <c r="AL263" s="1" t="s">
        <v>79</v>
      </c>
      <c r="AM263" s="1" t="s">
        <v>65</v>
      </c>
      <c r="AN263" s="1" t="s">
        <v>1321</v>
      </c>
      <c r="AO263" s="2">
        <v>43896.0</v>
      </c>
      <c r="AP263" s="2">
        <v>43896.3984722222</v>
      </c>
      <c r="AQ263" s="1" t="s">
        <v>80</v>
      </c>
      <c r="AR263" s="1" t="s">
        <v>676</v>
      </c>
      <c r="AS263" s="1" t="s">
        <v>1442</v>
      </c>
      <c r="AT263" s="2">
        <v>44269.931099537</v>
      </c>
    </row>
    <row r="264" ht="13.5" customHeight="1">
      <c r="A264" s="1"/>
      <c r="B264" s="1" t="s">
        <v>46</v>
      </c>
      <c r="C264" s="1" t="s">
        <v>47</v>
      </c>
      <c r="D264" s="1"/>
      <c r="E264" s="1" t="s">
        <v>1443</v>
      </c>
      <c r="F264" s="1"/>
      <c r="G264" s="1" t="s">
        <v>49</v>
      </c>
      <c r="H264" s="1" t="s">
        <v>50</v>
      </c>
      <c r="I264" s="1">
        <v>200000.0</v>
      </c>
      <c r="J264" s="1"/>
      <c r="K264" s="1" t="s">
        <v>51</v>
      </c>
      <c r="L264" s="1"/>
      <c r="M264" s="1" t="s">
        <v>1444</v>
      </c>
      <c r="N264" s="1" t="s">
        <v>283</v>
      </c>
      <c r="O264" s="1" t="s">
        <v>1133</v>
      </c>
      <c r="P264" s="2">
        <v>43812.4874768519</v>
      </c>
      <c r="Q264" s="1" t="s">
        <v>74</v>
      </c>
      <c r="R264" s="1"/>
      <c r="S264" s="1"/>
      <c r="T264" s="1">
        <v>3302403.0</v>
      </c>
      <c r="U264" s="1" t="s">
        <v>1371</v>
      </c>
      <c r="V264" s="1" t="s">
        <v>287</v>
      </c>
      <c r="W264" s="1" t="s">
        <v>288</v>
      </c>
      <c r="X264" s="1"/>
      <c r="Y264" s="1"/>
      <c r="Z264" s="1" t="s">
        <v>128</v>
      </c>
      <c r="AA264" s="1" t="s">
        <v>1445</v>
      </c>
      <c r="AB264" s="1" t="str">
        <f>"02031413000320"</f>
        <v>02031413000320</v>
      </c>
      <c r="AC264" s="1"/>
      <c r="AD264" s="1" t="s">
        <v>149</v>
      </c>
      <c r="AE264" s="1"/>
      <c r="AF264" s="1">
        <v>-39.858334</v>
      </c>
      <c r="AG264" s="1">
        <v>-21.884167</v>
      </c>
      <c r="AH264" s="1" t="s">
        <v>1446</v>
      </c>
      <c r="AI264" s="1"/>
      <c r="AJ264" s="1" t="s">
        <v>172</v>
      </c>
      <c r="AK264" s="1"/>
      <c r="AL264" s="1"/>
      <c r="AM264" s="1" t="s">
        <v>65</v>
      </c>
      <c r="AN264" s="1" t="s">
        <v>720</v>
      </c>
      <c r="AO264" s="1"/>
      <c r="AP264" s="2">
        <v>44013.7155902778</v>
      </c>
      <c r="AQ264" s="1"/>
      <c r="AR264" s="1" t="s">
        <v>1360</v>
      </c>
      <c r="AS264" s="1" t="s">
        <v>1361</v>
      </c>
      <c r="AT264" s="2">
        <v>44269.931099537</v>
      </c>
    </row>
    <row r="265" ht="13.5" customHeight="1">
      <c r="A265" s="1"/>
      <c r="B265" s="1" t="s">
        <v>46</v>
      </c>
      <c r="C265" s="1" t="s">
        <v>47</v>
      </c>
      <c r="D265" s="1"/>
      <c r="E265" s="1" t="s">
        <v>1447</v>
      </c>
      <c r="F265" s="1"/>
      <c r="G265" s="1" t="s">
        <v>49</v>
      </c>
      <c r="H265" s="1" t="s">
        <v>50</v>
      </c>
      <c r="I265" s="1">
        <v>500000.0</v>
      </c>
      <c r="J265" s="1"/>
      <c r="K265" s="1" t="s">
        <v>51</v>
      </c>
      <c r="L265" s="1"/>
      <c r="M265" s="1" t="s">
        <v>1448</v>
      </c>
      <c r="N265" s="1" t="s">
        <v>283</v>
      </c>
      <c r="O265" s="1" t="s">
        <v>1133</v>
      </c>
      <c r="P265" s="2">
        <v>43812.4677777778</v>
      </c>
      <c r="Q265" s="1" t="s">
        <v>74</v>
      </c>
      <c r="R265" s="1"/>
      <c r="S265" s="1"/>
      <c r="T265" s="1">
        <v>3302403.0</v>
      </c>
      <c r="U265" s="1" t="s">
        <v>1371</v>
      </c>
      <c r="V265" s="1" t="s">
        <v>287</v>
      </c>
      <c r="W265" s="1" t="s">
        <v>288</v>
      </c>
      <c r="X265" s="1"/>
      <c r="Y265" s="1"/>
      <c r="Z265" s="1" t="s">
        <v>128</v>
      </c>
      <c r="AA265" s="1" t="s">
        <v>1449</v>
      </c>
      <c r="AB265" s="1" t="str">
        <f t="shared" ref="AB265:AB266" si="15">"33000167100750"</f>
        <v>33000167100750</v>
      </c>
      <c r="AC265" s="1"/>
      <c r="AD265" s="1" t="s">
        <v>149</v>
      </c>
      <c r="AE265" s="1"/>
      <c r="AF265" s="1">
        <v>-40.030277</v>
      </c>
      <c r="AG265" s="1">
        <v>-22.427221</v>
      </c>
      <c r="AH265" s="1" t="s">
        <v>1450</v>
      </c>
      <c r="AI265" s="1"/>
      <c r="AJ265" s="1" t="s">
        <v>172</v>
      </c>
      <c r="AK265" s="1"/>
      <c r="AL265" s="1"/>
      <c r="AM265" s="1" t="s">
        <v>65</v>
      </c>
      <c r="AN265" s="1" t="s">
        <v>720</v>
      </c>
      <c r="AO265" s="1"/>
      <c r="AP265" s="2">
        <v>44013.7156712963</v>
      </c>
      <c r="AQ265" s="1"/>
      <c r="AR265" s="1" t="s">
        <v>1360</v>
      </c>
      <c r="AS265" s="1" t="s">
        <v>1361</v>
      </c>
      <c r="AT265" s="2">
        <v>44269.931099537</v>
      </c>
    </row>
    <row r="266" ht="13.5" customHeight="1">
      <c r="A266" s="1"/>
      <c r="B266" s="1" t="s">
        <v>46</v>
      </c>
      <c r="C266" s="1" t="s">
        <v>47</v>
      </c>
      <c r="D266" s="1"/>
      <c r="E266" s="1" t="s">
        <v>1451</v>
      </c>
      <c r="F266" s="1"/>
      <c r="G266" s="1" t="s">
        <v>49</v>
      </c>
      <c r="H266" s="1" t="s">
        <v>50</v>
      </c>
      <c r="I266" s="1">
        <v>200000.0</v>
      </c>
      <c r="J266" s="1"/>
      <c r="K266" s="1" t="s">
        <v>51</v>
      </c>
      <c r="L266" s="1"/>
      <c r="M266" s="1" t="s">
        <v>1452</v>
      </c>
      <c r="N266" s="1" t="s">
        <v>283</v>
      </c>
      <c r="O266" s="1" t="s">
        <v>1133</v>
      </c>
      <c r="P266" s="2">
        <v>43812.459537037</v>
      </c>
      <c r="Q266" s="1" t="s">
        <v>74</v>
      </c>
      <c r="R266" s="1"/>
      <c r="S266" s="1"/>
      <c r="T266" s="1">
        <v>3302403.0</v>
      </c>
      <c r="U266" s="1" t="s">
        <v>1371</v>
      </c>
      <c r="V266" s="1" t="s">
        <v>287</v>
      </c>
      <c r="W266" s="1" t="s">
        <v>288</v>
      </c>
      <c r="X266" s="1"/>
      <c r="Y266" s="1"/>
      <c r="Z266" s="1" t="s">
        <v>128</v>
      </c>
      <c r="AA266" s="1" t="s">
        <v>1449</v>
      </c>
      <c r="AB266" s="1" t="str">
        <f t="shared" si="15"/>
        <v>33000167100750</v>
      </c>
      <c r="AC266" s="1"/>
      <c r="AD266" s="1" t="s">
        <v>149</v>
      </c>
      <c r="AE266" s="1"/>
      <c r="AF266" s="1">
        <v>-40.030277</v>
      </c>
      <c r="AG266" s="1">
        <v>-22.427221</v>
      </c>
      <c r="AH266" s="1" t="s">
        <v>1450</v>
      </c>
      <c r="AI266" s="1"/>
      <c r="AJ266" s="1" t="s">
        <v>172</v>
      </c>
      <c r="AK266" s="1"/>
      <c r="AL266" s="1"/>
      <c r="AM266" s="1" t="s">
        <v>65</v>
      </c>
      <c r="AN266" s="1" t="s">
        <v>720</v>
      </c>
      <c r="AO266" s="1"/>
      <c r="AP266" s="2">
        <v>44013.7157638889</v>
      </c>
      <c r="AQ266" s="1"/>
      <c r="AR266" s="1" t="s">
        <v>1360</v>
      </c>
      <c r="AS266" s="1" t="s">
        <v>1361</v>
      </c>
      <c r="AT266" s="2">
        <v>44269.931099537</v>
      </c>
    </row>
    <row r="267" ht="13.5" customHeight="1">
      <c r="A267" s="1">
        <v>2039116.0</v>
      </c>
      <c r="B267" s="1" t="s">
        <v>67</v>
      </c>
      <c r="C267" s="1" t="s">
        <v>68</v>
      </c>
      <c r="D267" s="1" t="s">
        <v>46</v>
      </c>
      <c r="E267" s="1" t="s">
        <v>1453</v>
      </c>
      <c r="F267" s="1"/>
      <c r="G267" s="1" t="s">
        <v>70</v>
      </c>
      <c r="H267" s="1" t="s">
        <v>93</v>
      </c>
      <c r="I267" s="1">
        <v>16000.0</v>
      </c>
      <c r="J267" s="1"/>
      <c r="K267" s="1"/>
      <c r="L267" s="1" t="s">
        <v>628</v>
      </c>
      <c r="M267" s="1" t="s">
        <v>1454</v>
      </c>
      <c r="N267" s="1" t="s">
        <v>142</v>
      </c>
      <c r="O267" s="1" t="s">
        <v>143</v>
      </c>
      <c r="P267" s="2">
        <v>43812.4583333333</v>
      </c>
      <c r="Q267" s="1" t="s">
        <v>373</v>
      </c>
      <c r="R267" s="3">
        <v>43812.0</v>
      </c>
      <c r="S267" s="1"/>
      <c r="T267" s="1">
        <v>2921906.0</v>
      </c>
      <c r="U267" s="1" t="s">
        <v>631</v>
      </c>
      <c r="V267" s="1" t="s">
        <v>632</v>
      </c>
      <c r="W267" s="1" t="s">
        <v>113</v>
      </c>
      <c r="X267" s="1"/>
      <c r="Y267" s="1" t="str">
        <f>"02006000178202088"</f>
        <v>02006000178202088</v>
      </c>
      <c r="Z267" s="1" t="s">
        <v>147</v>
      </c>
      <c r="AA267" s="1" t="s">
        <v>1455</v>
      </c>
      <c r="AB267" s="1" t="str">
        <f>"***745255**"</f>
        <v>***745255**</v>
      </c>
      <c r="AC267" s="1"/>
      <c r="AD267" s="1"/>
      <c r="AE267" s="1"/>
      <c r="AF267" s="1">
        <v>-41.321388</v>
      </c>
      <c r="AG267" s="1">
        <v>-13.241389</v>
      </c>
      <c r="AH267" s="1" t="s">
        <v>1456</v>
      </c>
      <c r="AI267" s="1"/>
      <c r="AJ267" s="1" t="s">
        <v>628</v>
      </c>
      <c r="AK267" s="1"/>
      <c r="AL267" s="1" t="s">
        <v>79</v>
      </c>
      <c r="AM267" s="1" t="s">
        <v>65</v>
      </c>
      <c r="AN267" s="1" t="s">
        <v>635</v>
      </c>
      <c r="AO267" s="2">
        <v>44054.0</v>
      </c>
      <c r="AP267" s="2">
        <v>44054.731400463</v>
      </c>
      <c r="AQ267" s="1" t="s">
        <v>80</v>
      </c>
      <c r="AR267" s="1" t="s">
        <v>1334</v>
      </c>
      <c r="AS267" s="1"/>
      <c r="AT267" s="2">
        <v>44269.931099537</v>
      </c>
    </row>
    <row r="268" ht="13.5" customHeight="1">
      <c r="A268" s="1">
        <v>2044276.0</v>
      </c>
      <c r="B268" s="1" t="s">
        <v>67</v>
      </c>
      <c r="C268" s="1" t="s">
        <v>68</v>
      </c>
      <c r="D268" s="1" t="s">
        <v>46</v>
      </c>
      <c r="E268" s="1" t="s">
        <v>1457</v>
      </c>
      <c r="F268" s="1"/>
      <c r="G268" s="1" t="s">
        <v>70</v>
      </c>
      <c r="H268" s="1" t="s">
        <v>50</v>
      </c>
      <c r="I268" s="1">
        <v>1000.0</v>
      </c>
      <c r="J268" s="1"/>
      <c r="K268" s="1"/>
      <c r="L268" s="1" t="s">
        <v>64</v>
      </c>
      <c r="M268" s="1" t="s">
        <v>1458</v>
      </c>
      <c r="N268" s="1" t="s">
        <v>72</v>
      </c>
      <c r="O268" s="1" t="s">
        <v>73</v>
      </c>
      <c r="P268" s="2">
        <v>43812.4583333333</v>
      </c>
      <c r="Q268" s="1" t="s">
        <v>74</v>
      </c>
      <c r="R268" s="3">
        <v>43812.0</v>
      </c>
      <c r="S268" s="1"/>
      <c r="T268" s="1">
        <v>3534401.0</v>
      </c>
      <c r="U268" s="1" t="s">
        <v>1459</v>
      </c>
      <c r="V268" s="1" t="s">
        <v>58</v>
      </c>
      <c r="W268" s="1" t="s">
        <v>59</v>
      </c>
      <c r="X268" s="1"/>
      <c r="Y268" s="1" t="str">
        <f>"02027022684201946"</f>
        <v>02027022684201946</v>
      </c>
      <c r="Z268" s="1" t="s">
        <v>76</v>
      </c>
      <c r="AA268" s="1" t="s">
        <v>1460</v>
      </c>
      <c r="AB268" s="1" t="str">
        <f>"***183798**"</f>
        <v>***183798**</v>
      </c>
      <c r="AC268" s="1"/>
      <c r="AD268" s="1"/>
      <c r="AE268" s="1"/>
      <c r="AF268" s="1">
        <v>-46.668611</v>
      </c>
      <c r="AG268" s="1">
        <v>-23.559722</v>
      </c>
      <c r="AH268" s="1" t="s">
        <v>1461</v>
      </c>
      <c r="AI268" s="1"/>
      <c r="AJ268" s="1" t="s">
        <v>64</v>
      </c>
      <c r="AK268" s="1"/>
      <c r="AL268" s="1" t="s">
        <v>79</v>
      </c>
      <c r="AM268" s="1" t="s">
        <v>65</v>
      </c>
      <c r="AN268" s="1"/>
      <c r="AO268" s="2">
        <v>44266.0</v>
      </c>
      <c r="AP268" s="2">
        <v>44266.7577430556</v>
      </c>
      <c r="AQ268" s="1" t="s">
        <v>80</v>
      </c>
      <c r="AR268" s="1" t="s">
        <v>1136</v>
      </c>
      <c r="AS268" s="1" t="s">
        <v>88</v>
      </c>
      <c r="AT268" s="2">
        <v>44269.931099537</v>
      </c>
    </row>
    <row r="269" ht="13.5" customHeight="1">
      <c r="A269" s="1"/>
      <c r="B269" s="1" t="s">
        <v>46</v>
      </c>
      <c r="C269" s="1" t="s">
        <v>47</v>
      </c>
      <c r="D269" s="1"/>
      <c r="E269" s="1" t="s">
        <v>1462</v>
      </c>
      <c r="F269" s="1"/>
      <c r="G269" s="1" t="s">
        <v>49</v>
      </c>
      <c r="H269" s="1" t="s">
        <v>93</v>
      </c>
      <c r="I269" s="1">
        <v>500.0</v>
      </c>
      <c r="J269" s="1"/>
      <c r="K269" s="1" t="s">
        <v>51</v>
      </c>
      <c r="L269" s="1"/>
      <c r="M269" s="1" t="s">
        <v>1275</v>
      </c>
      <c r="N269" s="1" t="s">
        <v>212</v>
      </c>
      <c r="O269" s="1" t="s">
        <v>213</v>
      </c>
      <c r="P269" s="2">
        <v>43812.440787037</v>
      </c>
      <c r="Q269" s="1" t="s">
        <v>55</v>
      </c>
      <c r="R269" s="1"/>
      <c r="S269" s="1"/>
      <c r="T269" s="1">
        <v>2601102.0</v>
      </c>
      <c r="U269" s="1" t="s">
        <v>1276</v>
      </c>
      <c r="V269" s="1" t="s">
        <v>1037</v>
      </c>
      <c r="W269" s="1" t="s">
        <v>113</v>
      </c>
      <c r="X269" s="1"/>
      <c r="Y269" s="1"/>
      <c r="Z269" s="1" t="s">
        <v>215</v>
      </c>
      <c r="AA269" s="1" t="s">
        <v>1463</v>
      </c>
      <c r="AB269" s="1" t="str">
        <f>"30364430000153"</f>
        <v>30364430000153</v>
      </c>
      <c r="AC269" s="1"/>
      <c r="AD269" s="1" t="s">
        <v>149</v>
      </c>
      <c r="AE269" s="1"/>
      <c r="AF269" s="1">
        <v>-40.493889</v>
      </c>
      <c r="AG269" s="1">
        <v>-7.702222</v>
      </c>
      <c r="AH269" s="1" t="s">
        <v>1464</v>
      </c>
      <c r="AI269" s="1"/>
      <c r="AJ269" s="1" t="s">
        <v>1040</v>
      </c>
      <c r="AK269" s="1"/>
      <c r="AL269" s="1"/>
      <c r="AM269" s="1" t="s">
        <v>65</v>
      </c>
      <c r="AN269" s="1" t="s">
        <v>1279</v>
      </c>
      <c r="AO269" s="1"/>
      <c r="AP269" s="2">
        <v>43812.4480208333</v>
      </c>
      <c r="AQ269" s="1"/>
      <c r="AR269" s="1" t="s">
        <v>1280</v>
      </c>
      <c r="AS269" s="1"/>
      <c r="AT269" s="2">
        <v>44269.931099537</v>
      </c>
    </row>
    <row r="270" ht="13.5" customHeight="1">
      <c r="A270" s="1"/>
      <c r="B270" s="1" t="s">
        <v>46</v>
      </c>
      <c r="C270" s="1" t="s">
        <v>47</v>
      </c>
      <c r="D270" s="1"/>
      <c r="E270" s="1" t="s">
        <v>1465</v>
      </c>
      <c r="F270" s="1"/>
      <c r="G270" s="1" t="s">
        <v>49</v>
      </c>
      <c r="H270" s="1" t="s">
        <v>93</v>
      </c>
      <c r="I270" s="1">
        <v>120000.0</v>
      </c>
      <c r="J270" s="1"/>
      <c r="K270" s="1" t="s">
        <v>140</v>
      </c>
      <c r="L270" s="1"/>
      <c r="M270" s="1" t="s">
        <v>1466</v>
      </c>
      <c r="N270" s="1" t="s">
        <v>123</v>
      </c>
      <c r="O270" s="1" t="s">
        <v>73</v>
      </c>
      <c r="P270" s="2">
        <v>43812.4296527778</v>
      </c>
      <c r="Q270" s="1" t="s">
        <v>74</v>
      </c>
      <c r="R270" s="3">
        <v>38620.0</v>
      </c>
      <c r="S270" s="1"/>
      <c r="T270" s="1">
        <v>5107743.0</v>
      </c>
      <c r="U270" s="1" t="s">
        <v>1467</v>
      </c>
      <c r="V270" s="1" t="s">
        <v>164</v>
      </c>
      <c r="W270" s="1" t="s">
        <v>177</v>
      </c>
      <c r="X270" s="1"/>
      <c r="Y270" s="1"/>
      <c r="Z270" s="1" t="s">
        <v>76</v>
      </c>
      <c r="AA270" s="1" t="s">
        <v>1468</v>
      </c>
      <c r="AB270" s="1" t="str">
        <f>"***853581**"</f>
        <v>***853581**</v>
      </c>
      <c r="AC270" s="1"/>
      <c r="AD270" s="1" t="s">
        <v>62</v>
      </c>
      <c r="AE270" s="1"/>
      <c r="AF270" s="1">
        <v>-52.514721</v>
      </c>
      <c r="AG270" s="1">
        <v>-10.173334</v>
      </c>
      <c r="AH270" s="1" t="s">
        <v>1469</v>
      </c>
      <c r="AI270" s="1"/>
      <c r="AJ270" s="1" t="s">
        <v>167</v>
      </c>
      <c r="AK270" s="1"/>
      <c r="AL270" s="1"/>
      <c r="AM270" s="1" t="s">
        <v>65</v>
      </c>
      <c r="AN270" s="1" t="s">
        <v>168</v>
      </c>
      <c r="AO270" s="1"/>
      <c r="AP270" s="2">
        <v>43812.441875</v>
      </c>
      <c r="AQ270" s="1"/>
      <c r="AR270" s="1" t="s">
        <v>229</v>
      </c>
      <c r="AS270" s="1"/>
      <c r="AT270" s="2">
        <v>44269.931099537</v>
      </c>
    </row>
    <row r="271" ht="13.5" customHeight="1">
      <c r="A271" s="1">
        <v>2039113.0</v>
      </c>
      <c r="B271" s="1" t="s">
        <v>67</v>
      </c>
      <c r="C271" s="1" t="s">
        <v>68</v>
      </c>
      <c r="D271" s="1" t="s">
        <v>46</v>
      </c>
      <c r="E271" s="1" t="s">
        <v>1470</v>
      </c>
      <c r="F271" s="1"/>
      <c r="G271" s="1" t="s">
        <v>70</v>
      </c>
      <c r="H271" s="1" t="s">
        <v>50</v>
      </c>
      <c r="I271" s="1">
        <v>7550.0</v>
      </c>
      <c r="J271" s="1"/>
      <c r="K271" s="1"/>
      <c r="L271" s="1" t="s">
        <v>628</v>
      </c>
      <c r="M271" s="1" t="s">
        <v>1471</v>
      </c>
      <c r="N271" s="1" t="s">
        <v>142</v>
      </c>
      <c r="O271" s="1" t="s">
        <v>143</v>
      </c>
      <c r="P271" s="2">
        <v>43812.4166666667</v>
      </c>
      <c r="Q271" s="1" t="s">
        <v>373</v>
      </c>
      <c r="R271" s="3">
        <v>43812.0</v>
      </c>
      <c r="S271" s="1"/>
      <c r="T271" s="1">
        <v>2921906.0</v>
      </c>
      <c r="U271" s="1" t="s">
        <v>631</v>
      </c>
      <c r="V271" s="1" t="s">
        <v>632</v>
      </c>
      <c r="W271" s="1" t="s">
        <v>113</v>
      </c>
      <c r="X271" s="1"/>
      <c r="Y271" s="1" t="str">
        <f>"02006000176202099"</f>
        <v>02006000176202099</v>
      </c>
      <c r="Z271" s="1" t="s">
        <v>147</v>
      </c>
      <c r="AA271" s="1" t="s">
        <v>1455</v>
      </c>
      <c r="AB271" s="1" t="str">
        <f>"***745255**"</f>
        <v>***745255**</v>
      </c>
      <c r="AC271" s="1"/>
      <c r="AD271" s="1"/>
      <c r="AE271" s="1"/>
      <c r="AF271" s="1">
        <v>-41.319443</v>
      </c>
      <c r="AG271" s="1">
        <v>-13.249722</v>
      </c>
      <c r="AH271" s="1" t="s">
        <v>1472</v>
      </c>
      <c r="AI271" s="1"/>
      <c r="AJ271" s="1" t="s">
        <v>628</v>
      </c>
      <c r="AK271" s="1"/>
      <c r="AL271" s="1" t="s">
        <v>79</v>
      </c>
      <c r="AM271" s="1" t="s">
        <v>65</v>
      </c>
      <c r="AN271" s="1" t="s">
        <v>635</v>
      </c>
      <c r="AO271" s="2">
        <v>44054.0</v>
      </c>
      <c r="AP271" s="2">
        <v>44054.7255787037</v>
      </c>
      <c r="AQ271" s="1" t="s">
        <v>80</v>
      </c>
      <c r="AR271" s="1" t="s">
        <v>710</v>
      </c>
      <c r="AS271" s="1"/>
      <c r="AT271" s="2">
        <v>44269.931099537</v>
      </c>
    </row>
    <row r="272" ht="13.5" customHeight="1">
      <c r="A272" s="1"/>
      <c r="B272" s="1" t="s">
        <v>46</v>
      </c>
      <c r="C272" s="1" t="s">
        <v>47</v>
      </c>
      <c r="D272" s="1"/>
      <c r="E272" s="1" t="s">
        <v>1473</v>
      </c>
      <c r="F272" s="1"/>
      <c r="G272" s="1" t="s">
        <v>49</v>
      </c>
      <c r="H272" s="1" t="s">
        <v>50</v>
      </c>
      <c r="I272" s="1">
        <v>100000.0</v>
      </c>
      <c r="J272" s="1"/>
      <c r="K272" s="1" t="s">
        <v>51</v>
      </c>
      <c r="L272" s="1"/>
      <c r="M272" s="1" t="s">
        <v>1474</v>
      </c>
      <c r="N272" s="1" t="s">
        <v>283</v>
      </c>
      <c r="O272" s="1" t="s">
        <v>1133</v>
      </c>
      <c r="P272" s="2">
        <v>43812.4094907407</v>
      </c>
      <c r="Q272" s="1" t="s">
        <v>74</v>
      </c>
      <c r="R272" s="1"/>
      <c r="S272" s="1"/>
      <c r="T272" s="1">
        <v>3204302.0</v>
      </c>
      <c r="U272" s="1" t="s">
        <v>1380</v>
      </c>
      <c r="V272" s="1" t="s">
        <v>403</v>
      </c>
      <c r="W272" s="1" t="s">
        <v>288</v>
      </c>
      <c r="X272" s="1"/>
      <c r="Y272" s="1"/>
      <c r="Z272" s="1" t="s">
        <v>128</v>
      </c>
      <c r="AA272" s="1" t="s">
        <v>1381</v>
      </c>
      <c r="AB272" s="1" t="str">
        <f>"33000167000454"</f>
        <v>33000167000454</v>
      </c>
      <c r="AC272" s="1"/>
      <c r="AD272" s="1" t="s">
        <v>149</v>
      </c>
      <c r="AE272" s="1"/>
      <c r="AF272" s="1">
        <v>-39.966389</v>
      </c>
      <c r="AG272" s="1">
        <v>-22.130001</v>
      </c>
      <c r="AH272" s="1" t="s">
        <v>1382</v>
      </c>
      <c r="AI272" s="1"/>
      <c r="AJ272" s="1" t="s">
        <v>172</v>
      </c>
      <c r="AK272" s="1"/>
      <c r="AL272" s="1"/>
      <c r="AM272" s="1" t="s">
        <v>65</v>
      </c>
      <c r="AN272" s="1" t="s">
        <v>720</v>
      </c>
      <c r="AO272" s="1"/>
      <c r="AP272" s="2">
        <v>44013.7160300926</v>
      </c>
      <c r="AQ272" s="1"/>
      <c r="AR272" s="1" t="s">
        <v>1360</v>
      </c>
      <c r="AS272" s="1" t="s">
        <v>1361</v>
      </c>
      <c r="AT272" s="2">
        <v>44269.931099537</v>
      </c>
    </row>
    <row r="273" ht="13.5" customHeight="1">
      <c r="A273" s="1">
        <v>2035219.0</v>
      </c>
      <c r="B273" s="1" t="s">
        <v>67</v>
      </c>
      <c r="C273" s="1" t="s">
        <v>68</v>
      </c>
      <c r="D273" s="1" t="s">
        <v>46</v>
      </c>
      <c r="E273" s="1" t="s">
        <v>1475</v>
      </c>
      <c r="F273" s="1"/>
      <c r="G273" s="1" t="s">
        <v>70</v>
      </c>
      <c r="H273" s="1" t="s">
        <v>93</v>
      </c>
      <c r="I273" s="1">
        <v>4302900.0</v>
      </c>
      <c r="J273" s="1"/>
      <c r="K273" s="1"/>
      <c r="L273" s="1" t="s">
        <v>106</v>
      </c>
      <c r="M273" s="1" t="s">
        <v>1476</v>
      </c>
      <c r="N273" s="1" t="s">
        <v>142</v>
      </c>
      <c r="O273" s="1"/>
      <c r="P273" s="2">
        <v>43812.3520833333</v>
      </c>
      <c r="Q273" s="1" t="s">
        <v>373</v>
      </c>
      <c r="R273" s="1"/>
      <c r="S273" s="1"/>
      <c r="T273" s="1">
        <v>2307650.0</v>
      </c>
      <c r="U273" s="1" t="s">
        <v>1477</v>
      </c>
      <c r="V273" s="1" t="s">
        <v>112</v>
      </c>
      <c r="W273" s="1" t="s">
        <v>113</v>
      </c>
      <c r="X273" s="1"/>
      <c r="Y273" s="1" t="str">
        <f>"02007004009201973"</f>
        <v>02007004009201973</v>
      </c>
      <c r="Z273" s="1" t="s">
        <v>1478</v>
      </c>
      <c r="AA273" s="1" t="s">
        <v>1479</v>
      </c>
      <c r="AB273" s="1" t="str">
        <f>"07329386000129"</f>
        <v>07329386000129</v>
      </c>
      <c r="AC273" s="1"/>
      <c r="AD273" s="1" t="s">
        <v>116</v>
      </c>
      <c r="AE273" s="1"/>
      <c r="AF273" s="1">
        <v>0.0</v>
      </c>
      <c r="AG273" s="1">
        <v>0.0</v>
      </c>
      <c r="AH273" s="1" t="s">
        <v>1480</v>
      </c>
      <c r="AI273" s="1"/>
      <c r="AJ273" s="1"/>
      <c r="AK273" s="1"/>
      <c r="AL273" s="1" t="s">
        <v>118</v>
      </c>
      <c r="AM273" s="1"/>
      <c r="AN273" s="1"/>
      <c r="AO273" s="2">
        <v>43896.6781134259</v>
      </c>
      <c r="AP273" s="2">
        <v>43896.6781134259</v>
      </c>
      <c r="AQ273" s="1" t="s">
        <v>80</v>
      </c>
      <c r="AR273" s="1" t="s">
        <v>1481</v>
      </c>
      <c r="AS273" s="1"/>
      <c r="AT273" s="2">
        <v>44269.931099537</v>
      </c>
    </row>
    <row r="274" ht="13.5" customHeight="1">
      <c r="A274" s="1">
        <v>2039946.0</v>
      </c>
      <c r="B274" s="1" t="s">
        <v>67</v>
      </c>
      <c r="C274" s="1" t="s">
        <v>68</v>
      </c>
      <c r="D274" s="1" t="s">
        <v>46</v>
      </c>
      <c r="E274" s="1" t="s">
        <v>1482</v>
      </c>
      <c r="F274" s="1"/>
      <c r="G274" s="1" t="s">
        <v>70</v>
      </c>
      <c r="H274" s="1" t="s">
        <v>50</v>
      </c>
      <c r="I274" s="1">
        <v>100000.0</v>
      </c>
      <c r="J274" s="1"/>
      <c r="K274" s="1"/>
      <c r="L274" s="1" t="s">
        <v>172</v>
      </c>
      <c r="M274" s="1" t="s">
        <v>1483</v>
      </c>
      <c r="N274" s="1" t="s">
        <v>283</v>
      </c>
      <c r="O274" s="1" t="s">
        <v>1133</v>
      </c>
      <c r="P274" s="2">
        <v>43812.3333333333</v>
      </c>
      <c r="Q274" s="1" t="s">
        <v>74</v>
      </c>
      <c r="R274" s="1"/>
      <c r="S274" s="1"/>
      <c r="T274" s="1">
        <v>3302403.0</v>
      </c>
      <c r="U274" s="1" t="s">
        <v>1371</v>
      </c>
      <c r="V274" s="1" t="s">
        <v>287</v>
      </c>
      <c r="W274" s="1" t="s">
        <v>288</v>
      </c>
      <c r="X274" s="1"/>
      <c r="Y274" s="1" t="str">
        <f>"02001035797201908"</f>
        <v>02001035797201908</v>
      </c>
      <c r="Z274" s="1" t="s">
        <v>128</v>
      </c>
      <c r="AA274" s="1" t="s">
        <v>1449</v>
      </c>
      <c r="AB274" s="1" t="str">
        <f t="shared" ref="AB274:AB275" si="16">"33000167100750"</f>
        <v>33000167100750</v>
      </c>
      <c r="AC274" s="1"/>
      <c r="AD274" s="1"/>
      <c r="AE274" s="1"/>
      <c r="AF274" s="1">
        <v>-40.413334</v>
      </c>
      <c r="AG274" s="1">
        <v>-22.449444</v>
      </c>
      <c r="AH274" s="1" t="s">
        <v>1484</v>
      </c>
      <c r="AI274" s="1"/>
      <c r="AJ274" s="1" t="s">
        <v>172</v>
      </c>
      <c r="AK274" s="1"/>
      <c r="AL274" s="1" t="s">
        <v>79</v>
      </c>
      <c r="AM274" s="1" t="s">
        <v>65</v>
      </c>
      <c r="AN274" s="1" t="s">
        <v>720</v>
      </c>
      <c r="AO274" s="2">
        <v>44078.0</v>
      </c>
      <c r="AP274" s="2">
        <v>44078.4425347222</v>
      </c>
      <c r="AQ274" s="1" t="s">
        <v>80</v>
      </c>
      <c r="AR274" s="1" t="s">
        <v>1485</v>
      </c>
      <c r="AS274" s="1" t="s">
        <v>1361</v>
      </c>
      <c r="AT274" s="2">
        <v>44269.931099537</v>
      </c>
    </row>
    <row r="275" ht="13.5" customHeight="1">
      <c r="A275" s="1">
        <v>2039999.0</v>
      </c>
      <c r="B275" s="1" t="s">
        <v>67</v>
      </c>
      <c r="C275" s="1" t="s">
        <v>68</v>
      </c>
      <c r="D275" s="1" t="s">
        <v>46</v>
      </c>
      <c r="E275" s="1" t="s">
        <v>1486</v>
      </c>
      <c r="F275" s="1"/>
      <c r="G275" s="1" t="s">
        <v>70</v>
      </c>
      <c r="H275" s="1" t="s">
        <v>50</v>
      </c>
      <c r="I275" s="1">
        <v>100000.0</v>
      </c>
      <c r="J275" s="1"/>
      <c r="K275" s="1"/>
      <c r="L275" s="1" t="s">
        <v>172</v>
      </c>
      <c r="M275" s="1" t="s">
        <v>1487</v>
      </c>
      <c r="N275" s="1" t="s">
        <v>283</v>
      </c>
      <c r="O275" s="1" t="s">
        <v>1133</v>
      </c>
      <c r="P275" s="2">
        <v>43812.3333333333</v>
      </c>
      <c r="Q275" s="1" t="s">
        <v>74</v>
      </c>
      <c r="R275" s="1"/>
      <c r="S275" s="1"/>
      <c r="T275" s="1">
        <v>3302403.0</v>
      </c>
      <c r="U275" s="1" t="s">
        <v>1371</v>
      </c>
      <c r="V275" s="1" t="s">
        <v>287</v>
      </c>
      <c r="W275" s="1" t="s">
        <v>288</v>
      </c>
      <c r="X275" s="1"/>
      <c r="Y275" s="1" t="str">
        <f>"02001035795201919"</f>
        <v>02001035795201919</v>
      </c>
      <c r="Z275" s="1" t="s">
        <v>128</v>
      </c>
      <c r="AA275" s="1" t="s">
        <v>1449</v>
      </c>
      <c r="AB275" s="1" t="str">
        <f t="shared" si="16"/>
        <v>33000167100750</v>
      </c>
      <c r="AC275" s="1"/>
      <c r="AD275" s="1"/>
      <c r="AE275" s="1"/>
      <c r="AF275" s="1">
        <v>-40.0975</v>
      </c>
      <c r="AG275" s="1">
        <v>-22.483889</v>
      </c>
      <c r="AH275" s="1" t="s">
        <v>1450</v>
      </c>
      <c r="AI275" s="1"/>
      <c r="AJ275" s="1" t="s">
        <v>172</v>
      </c>
      <c r="AK275" s="1"/>
      <c r="AL275" s="1" t="s">
        <v>79</v>
      </c>
      <c r="AM275" s="1" t="s">
        <v>65</v>
      </c>
      <c r="AN275" s="1" t="s">
        <v>720</v>
      </c>
      <c r="AO275" s="2">
        <v>44083.0</v>
      </c>
      <c r="AP275" s="2">
        <v>44083.4868981482</v>
      </c>
      <c r="AQ275" s="1" t="s">
        <v>80</v>
      </c>
      <c r="AR275" s="1" t="s">
        <v>1485</v>
      </c>
      <c r="AS275" s="1" t="s">
        <v>1361</v>
      </c>
      <c r="AT275" s="2">
        <v>44269.931099537</v>
      </c>
    </row>
    <row r="276" ht="13.5" customHeight="1">
      <c r="A276" s="1">
        <v>2039109.0</v>
      </c>
      <c r="B276" s="1" t="s">
        <v>67</v>
      </c>
      <c r="C276" s="1" t="s">
        <v>68</v>
      </c>
      <c r="D276" s="1" t="s">
        <v>46</v>
      </c>
      <c r="E276" s="1" t="s">
        <v>1488</v>
      </c>
      <c r="F276" s="1"/>
      <c r="G276" s="1" t="s">
        <v>70</v>
      </c>
      <c r="H276" s="1" t="s">
        <v>93</v>
      </c>
      <c r="I276" s="1">
        <v>12000.0</v>
      </c>
      <c r="J276" s="1"/>
      <c r="K276" s="1"/>
      <c r="L276" s="1" t="s">
        <v>628</v>
      </c>
      <c r="M276" s="1" t="s">
        <v>1489</v>
      </c>
      <c r="N276" s="1" t="s">
        <v>142</v>
      </c>
      <c r="O276" s="1" t="s">
        <v>143</v>
      </c>
      <c r="P276" s="2">
        <v>43812.2916666667</v>
      </c>
      <c r="Q276" s="1" t="s">
        <v>373</v>
      </c>
      <c r="R276" s="3">
        <v>43812.0</v>
      </c>
      <c r="S276" s="1"/>
      <c r="T276" s="1">
        <v>2921906.0</v>
      </c>
      <c r="U276" s="1" t="s">
        <v>631</v>
      </c>
      <c r="V276" s="1" t="s">
        <v>632</v>
      </c>
      <c r="W276" s="1" t="s">
        <v>113</v>
      </c>
      <c r="X276" s="1"/>
      <c r="Y276" s="1" t="str">
        <f>"02006000175202044"</f>
        <v>02006000175202044</v>
      </c>
      <c r="Z276" s="1" t="s">
        <v>147</v>
      </c>
      <c r="AA276" s="1" t="s">
        <v>1490</v>
      </c>
      <c r="AB276" s="1" t="str">
        <f>"83144733001280"</f>
        <v>83144733001280</v>
      </c>
      <c r="AC276" s="1"/>
      <c r="AD276" s="1"/>
      <c r="AE276" s="1"/>
      <c r="AF276" s="1">
        <v>-41.3825</v>
      </c>
      <c r="AG276" s="1">
        <v>-13.172222</v>
      </c>
      <c r="AH276" s="1" t="s">
        <v>1491</v>
      </c>
      <c r="AI276" s="1"/>
      <c r="AJ276" s="1" t="s">
        <v>628</v>
      </c>
      <c r="AK276" s="1"/>
      <c r="AL276" s="1" t="s">
        <v>79</v>
      </c>
      <c r="AM276" s="1" t="s">
        <v>65</v>
      </c>
      <c r="AN276" s="1" t="s">
        <v>635</v>
      </c>
      <c r="AO276" s="2">
        <v>44054.0</v>
      </c>
      <c r="AP276" s="2">
        <v>44054.7049421296</v>
      </c>
      <c r="AQ276" s="1" t="s">
        <v>80</v>
      </c>
      <c r="AR276" s="1" t="s">
        <v>865</v>
      </c>
      <c r="AS276" s="1"/>
      <c r="AT276" s="2">
        <v>44269.931099537</v>
      </c>
    </row>
    <row r="277" ht="13.5" customHeight="1">
      <c r="A277" s="1"/>
      <c r="B277" s="1" t="s">
        <v>46</v>
      </c>
      <c r="C277" s="1" t="s">
        <v>47</v>
      </c>
      <c r="D277" s="1"/>
      <c r="E277" s="1" t="s">
        <v>1492</v>
      </c>
      <c r="F277" s="1"/>
      <c r="G277" s="1" t="s">
        <v>49</v>
      </c>
      <c r="H277" s="1" t="s">
        <v>93</v>
      </c>
      <c r="I277" s="1">
        <v>1100.0</v>
      </c>
      <c r="J277" s="1"/>
      <c r="K277" s="1" t="s">
        <v>51</v>
      </c>
      <c r="L277" s="1"/>
      <c r="M277" s="1" t="s">
        <v>1493</v>
      </c>
      <c r="N277" s="1" t="s">
        <v>108</v>
      </c>
      <c r="O277" s="1" t="s">
        <v>109</v>
      </c>
      <c r="P277" s="2">
        <v>43812.2877662037</v>
      </c>
      <c r="Q277" s="1" t="s">
        <v>74</v>
      </c>
      <c r="R277" s="1"/>
      <c r="S277" s="1"/>
      <c r="T277" s="1">
        <v>5006200.0</v>
      </c>
      <c r="U277" s="1" t="s">
        <v>1494</v>
      </c>
      <c r="V277" s="1" t="s">
        <v>529</v>
      </c>
      <c r="W277" s="1" t="s">
        <v>127</v>
      </c>
      <c r="X277" s="1"/>
      <c r="Y277" s="1"/>
      <c r="Z277" s="1" t="s">
        <v>226</v>
      </c>
      <c r="AA277" s="1" t="s">
        <v>1495</v>
      </c>
      <c r="AB277" s="1" t="str">
        <f>"03172749000104"</f>
        <v>03172749000104</v>
      </c>
      <c r="AC277" s="1"/>
      <c r="AD277" s="1" t="s">
        <v>62</v>
      </c>
      <c r="AE277" s="1"/>
      <c r="AF277" s="1">
        <v>-54.595833</v>
      </c>
      <c r="AG277" s="1">
        <v>-20.456112</v>
      </c>
      <c r="AH277" s="1" t="s">
        <v>1496</v>
      </c>
      <c r="AI277" s="1"/>
      <c r="AJ277" s="1" t="s">
        <v>533</v>
      </c>
      <c r="AK277" s="1"/>
      <c r="AL277" s="1"/>
      <c r="AM277" s="1" t="s">
        <v>65</v>
      </c>
      <c r="AN277" s="1" t="s">
        <v>1497</v>
      </c>
      <c r="AO277" s="1"/>
      <c r="AP277" s="2">
        <v>43812.3153472222</v>
      </c>
      <c r="AQ277" s="1"/>
      <c r="AR277" s="1" t="s">
        <v>899</v>
      </c>
      <c r="AS277" s="1"/>
      <c r="AT277" s="2">
        <v>44269.931099537</v>
      </c>
    </row>
    <row r="278" ht="13.5" customHeight="1">
      <c r="A278" s="1">
        <v>2035472.0</v>
      </c>
      <c r="B278" s="1" t="s">
        <v>67</v>
      </c>
      <c r="C278" s="1" t="s">
        <v>68</v>
      </c>
      <c r="D278" s="1" t="s">
        <v>46</v>
      </c>
      <c r="E278" s="1" t="s">
        <v>1498</v>
      </c>
      <c r="F278" s="1"/>
      <c r="G278" s="1" t="s">
        <v>70</v>
      </c>
      <c r="H278" s="1" t="s">
        <v>93</v>
      </c>
      <c r="I278" s="1">
        <v>9638.1</v>
      </c>
      <c r="J278" s="1"/>
      <c r="K278" s="1"/>
      <c r="L278" s="1" t="s">
        <v>898</v>
      </c>
      <c r="M278" s="1" t="s">
        <v>1499</v>
      </c>
      <c r="N278" s="1" t="s">
        <v>142</v>
      </c>
      <c r="O278" s="1" t="s">
        <v>143</v>
      </c>
      <c r="P278" s="2">
        <v>43812.25</v>
      </c>
      <c r="Q278" s="1" t="s">
        <v>373</v>
      </c>
      <c r="R278" s="3">
        <v>43812.0</v>
      </c>
      <c r="S278" s="1"/>
      <c r="T278" s="1">
        <v>2208007.0</v>
      </c>
      <c r="U278" s="1" t="s">
        <v>894</v>
      </c>
      <c r="V278" s="1" t="s">
        <v>895</v>
      </c>
      <c r="W278" s="1" t="s">
        <v>113</v>
      </c>
      <c r="X278" s="1"/>
      <c r="Y278" s="1" t="str">
        <f>"02020000067202093"</f>
        <v>02020000067202093</v>
      </c>
      <c r="Z278" s="1" t="s">
        <v>147</v>
      </c>
      <c r="AA278" s="1" t="s">
        <v>1500</v>
      </c>
      <c r="AB278" s="1" t="str">
        <f>"***101824**"</f>
        <v>***101824**</v>
      </c>
      <c r="AC278" s="1"/>
      <c r="AD278" s="1"/>
      <c r="AE278" s="1"/>
      <c r="AF278" s="1">
        <v>-41.516666</v>
      </c>
      <c r="AG278" s="1">
        <v>-7.064167</v>
      </c>
      <c r="AH278" s="1" t="s">
        <v>1501</v>
      </c>
      <c r="AI278" s="1"/>
      <c r="AJ278" s="1" t="s">
        <v>898</v>
      </c>
      <c r="AK278" s="1"/>
      <c r="AL278" s="1" t="s">
        <v>79</v>
      </c>
      <c r="AM278" s="1" t="s">
        <v>65</v>
      </c>
      <c r="AN278" s="1" t="s">
        <v>152</v>
      </c>
      <c r="AO278" s="2">
        <v>43906.0</v>
      </c>
      <c r="AP278" s="2">
        <v>43906.4291087963</v>
      </c>
      <c r="AQ278" s="1" t="s">
        <v>80</v>
      </c>
      <c r="AR278" s="1" t="s">
        <v>181</v>
      </c>
      <c r="AS278" s="1"/>
      <c r="AT278" s="2">
        <v>44269.931099537</v>
      </c>
    </row>
    <row r="279" ht="13.5" customHeight="1">
      <c r="A279" s="1"/>
      <c r="B279" s="1" t="s">
        <v>46</v>
      </c>
      <c r="C279" s="1" t="s">
        <v>47</v>
      </c>
      <c r="D279" s="1"/>
      <c r="E279" s="1" t="s">
        <v>1502</v>
      </c>
      <c r="F279" s="1"/>
      <c r="G279" s="1" t="s">
        <v>49</v>
      </c>
      <c r="H279" s="1" t="s">
        <v>93</v>
      </c>
      <c r="I279" s="1">
        <v>2200.0</v>
      </c>
      <c r="J279" s="1"/>
      <c r="K279" s="1"/>
      <c r="L279" s="1"/>
      <c r="M279" s="1" t="s">
        <v>1503</v>
      </c>
      <c r="N279" s="1" t="s">
        <v>95</v>
      </c>
      <c r="O279" s="1" t="s">
        <v>96</v>
      </c>
      <c r="P279" s="2">
        <v>43811.890150463</v>
      </c>
      <c r="Q279" s="1" t="s">
        <v>74</v>
      </c>
      <c r="R279" s="3">
        <v>43817.0</v>
      </c>
      <c r="S279" s="1"/>
      <c r="T279" s="1">
        <v>3131307.0</v>
      </c>
      <c r="U279" s="1" t="s">
        <v>819</v>
      </c>
      <c r="V279" s="1" t="s">
        <v>126</v>
      </c>
      <c r="W279" s="1" t="s">
        <v>127</v>
      </c>
      <c r="X279" s="1"/>
      <c r="Y279" s="1"/>
      <c r="Z279" s="1" t="s">
        <v>98</v>
      </c>
      <c r="AA279" s="1" t="s">
        <v>820</v>
      </c>
      <c r="AB279" s="1" t="str">
        <f t="shared" ref="AB279:AB284" si="17">"***003696**"</f>
        <v>***003696**</v>
      </c>
      <c r="AC279" s="1"/>
      <c r="AD279" s="1" t="s">
        <v>62</v>
      </c>
      <c r="AE279" s="1"/>
      <c r="AF279" s="1">
        <v>-42.520222</v>
      </c>
      <c r="AG279" s="1">
        <v>-19.46464</v>
      </c>
      <c r="AH279" s="1" t="s">
        <v>821</v>
      </c>
      <c r="AI279" s="1"/>
      <c r="AJ279" s="1" t="s">
        <v>131</v>
      </c>
      <c r="AK279" s="1"/>
      <c r="AL279" s="1"/>
      <c r="AM279" s="1" t="s">
        <v>65</v>
      </c>
      <c r="AN279" s="1" t="s">
        <v>132</v>
      </c>
      <c r="AO279" s="1"/>
      <c r="AP279" s="2">
        <v>44076.7277662037</v>
      </c>
      <c r="AQ279" s="1"/>
      <c r="AR279" s="1" t="s">
        <v>1504</v>
      </c>
      <c r="AS279" s="1"/>
      <c r="AT279" s="2">
        <v>44269.931099537</v>
      </c>
    </row>
    <row r="280" ht="13.5" customHeight="1">
      <c r="A280" s="1"/>
      <c r="B280" s="1" t="s">
        <v>46</v>
      </c>
      <c r="C280" s="1" t="s">
        <v>47</v>
      </c>
      <c r="D280" s="1"/>
      <c r="E280" s="1" t="s">
        <v>1505</v>
      </c>
      <c r="F280" s="1"/>
      <c r="G280" s="1" t="s">
        <v>49</v>
      </c>
      <c r="H280" s="1" t="s">
        <v>93</v>
      </c>
      <c r="I280" s="1">
        <v>10000.0</v>
      </c>
      <c r="J280" s="1"/>
      <c r="K280" s="1"/>
      <c r="L280" s="1"/>
      <c r="M280" s="1" t="s">
        <v>1506</v>
      </c>
      <c r="N280" s="1" t="s">
        <v>95</v>
      </c>
      <c r="O280" s="1" t="s">
        <v>96</v>
      </c>
      <c r="P280" s="2">
        <v>43811.8845717593</v>
      </c>
      <c r="Q280" s="1" t="s">
        <v>74</v>
      </c>
      <c r="R280" s="3">
        <v>43817.0</v>
      </c>
      <c r="S280" s="1"/>
      <c r="T280" s="1">
        <v>3131307.0</v>
      </c>
      <c r="U280" s="1" t="s">
        <v>819</v>
      </c>
      <c r="V280" s="1" t="s">
        <v>126</v>
      </c>
      <c r="W280" s="1" t="s">
        <v>127</v>
      </c>
      <c r="X280" s="1"/>
      <c r="Y280" s="1"/>
      <c r="Z280" s="1" t="s">
        <v>98</v>
      </c>
      <c r="AA280" s="1" t="s">
        <v>820</v>
      </c>
      <c r="AB280" s="1" t="str">
        <f t="shared" si="17"/>
        <v>***003696**</v>
      </c>
      <c r="AC280" s="1"/>
      <c r="AD280" s="1" t="s">
        <v>62</v>
      </c>
      <c r="AE280" s="1"/>
      <c r="AF280" s="1">
        <v>-42.520222</v>
      </c>
      <c r="AG280" s="1">
        <v>-19.46464</v>
      </c>
      <c r="AH280" s="1" t="s">
        <v>1507</v>
      </c>
      <c r="AI280" s="1"/>
      <c r="AJ280" s="1" t="s">
        <v>131</v>
      </c>
      <c r="AK280" s="1"/>
      <c r="AL280" s="1"/>
      <c r="AM280" s="1" t="s">
        <v>65</v>
      </c>
      <c r="AN280" s="1" t="s">
        <v>132</v>
      </c>
      <c r="AO280" s="1"/>
      <c r="AP280" s="2">
        <v>44076.7280439815</v>
      </c>
      <c r="AQ280" s="1"/>
      <c r="AR280" s="1" t="s">
        <v>1508</v>
      </c>
      <c r="AS280" s="1"/>
      <c r="AT280" s="2">
        <v>44269.931099537</v>
      </c>
    </row>
    <row r="281" ht="13.5" customHeight="1">
      <c r="A281" s="1"/>
      <c r="B281" s="1" t="s">
        <v>46</v>
      </c>
      <c r="C281" s="1" t="s">
        <v>47</v>
      </c>
      <c r="D281" s="1"/>
      <c r="E281" s="1" t="s">
        <v>1509</v>
      </c>
      <c r="F281" s="1"/>
      <c r="G281" s="1" t="s">
        <v>49</v>
      </c>
      <c r="H281" s="1" t="s">
        <v>93</v>
      </c>
      <c r="I281" s="1">
        <v>10000.0</v>
      </c>
      <c r="J281" s="1"/>
      <c r="K281" s="1"/>
      <c r="L281" s="1"/>
      <c r="M281" s="1" t="s">
        <v>1510</v>
      </c>
      <c r="N281" s="1" t="s">
        <v>95</v>
      </c>
      <c r="O281" s="1" t="s">
        <v>96</v>
      </c>
      <c r="P281" s="2">
        <v>43811.8784837963</v>
      </c>
      <c r="Q281" s="1" t="s">
        <v>74</v>
      </c>
      <c r="R281" s="3">
        <v>43817.0</v>
      </c>
      <c r="S281" s="1"/>
      <c r="T281" s="1">
        <v>3131307.0</v>
      </c>
      <c r="U281" s="1" t="s">
        <v>819</v>
      </c>
      <c r="V281" s="1" t="s">
        <v>126</v>
      </c>
      <c r="W281" s="1" t="s">
        <v>127</v>
      </c>
      <c r="X281" s="1"/>
      <c r="Y281" s="1"/>
      <c r="Z281" s="1" t="s">
        <v>98</v>
      </c>
      <c r="AA281" s="1" t="s">
        <v>820</v>
      </c>
      <c r="AB281" s="1" t="str">
        <f t="shared" si="17"/>
        <v>***003696**</v>
      </c>
      <c r="AC281" s="1"/>
      <c r="AD281" s="1" t="s">
        <v>62</v>
      </c>
      <c r="AE281" s="1"/>
      <c r="AF281" s="1">
        <v>-42.520222</v>
      </c>
      <c r="AG281" s="1">
        <v>-19.46464</v>
      </c>
      <c r="AH281" s="1" t="s">
        <v>821</v>
      </c>
      <c r="AI281" s="1"/>
      <c r="AJ281" s="1" t="s">
        <v>131</v>
      </c>
      <c r="AK281" s="1"/>
      <c r="AL281" s="1"/>
      <c r="AM281" s="1" t="s">
        <v>65</v>
      </c>
      <c r="AN281" s="1" t="s">
        <v>132</v>
      </c>
      <c r="AO281" s="1"/>
      <c r="AP281" s="2">
        <v>44076.7283217593</v>
      </c>
      <c r="AQ281" s="1"/>
      <c r="AR281" s="1" t="s">
        <v>1508</v>
      </c>
      <c r="AS281" s="1"/>
      <c r="AT281" s="2">
        <v>44269.931099537</v>
      </c>
    </row>
    <row r="282" ht="13.5" customHeight="1">
      <c r="A282" s="1"/>
      <c r="B282" s="1" t="s">
        <v>46</v>
      </c>
      <c r="C282" s="1" t="s">
        <v>47</v>
      </c>
      <c r="D282" s="1"/>
      <c r="E282" s="1" t="s">
        <v>1511</v>
      </c>
      <c r="F282" s="1"/>
      <c r="G282" s="1" t="s">
        <v>49</v>
      </c>
      <c r="H282" s="1" t="s">
        <v>93</v>
      </c>
      <c r="I282" s="1">
        <v>2200.0</v>
      </c>
      <c r="J282" s="1"/>
      <c r="K282" s="1"/>
      <c r="L282" s="1"/>
      <c r="M282" s="1" t="s">
        <v>1512</v>
      </c>
      <c r="N282" s="1" t="s">
        <v>95</v>
      </c>
      <c r="O282" s="1" t="s">
        <v>96</v>
      </c>
      <c r="P282" s="2">
        <v>43811.8729050926</v>
      </c>
      <c r="Q282" s="1" t="s">
        <v>74</v>
      </c>
      <c r="R282" s="3">
        <v>43817.0</v>
      </c>
      <c r="S282" s="1"/>
      <c r="T282" s="1">
        <v>3131307.0</v>
      </c>
      <c r="U282" s="1" t="s">
        <v>819</v>
      </c>
      <c r="V282" s="1" t="s">
        <v>126</v>
      </c>
      <c r="W282" s="1" t="s">
        <v>127</v>
      </c>
      <c r="X282" s="1"/>
      <c r="Y282" s="1"/>
      <c r="Z282" s="1" t="s">
        <v>98</v>
      </c>
      <c r="AA282" s="1" t="s">
        <v>820</v>
      </c>
      <c r="AB282" s="1" t="str">
        <f t="shared" si="17"/>
        <v>***003696**</v>
      </c>
      <c r="AC282" s="1"/>
      <c r="AD282" s="1" t="s">
        <v>62</v>
      </c>
      <c r="AE282" s="1"/>
      <c r="AF282" s="1">
        <v>-42.520222</v>
      </c>
      <c r="AG282" s="1">
        <v>-19.46464</v>
      </c>
      <c r="AH282" s="1" t="s">
        <v>821</v>
      </c>
      <c r="AI282" s="1"/>
      <c r="AJ282" s="1" t="s">
        <v>131</v>
      </c>
      <c r="AK282" s="1"/>
      <c r="AL282" s="1"/>
      <c r="AM282" s="1" t="s">
        <v>65</v>
      </c>
      <c r="AN282" s="1" t="s">
        <v>132</v>
      </c>
      <c r="AO282" s="1"/>
      <c r="AP282" s="2">
        <v>44076.7286689815</v>
      </c>
      <c r="AQ282" s="1"/>
      <c r="AR282" s="1" t="s">
        <v>1504</v>
      </c>
      <c r="AS282" s="1"/>
      <c r="AT282" s="2">
        <v>44269.931099537</v>
      </c>
    </row>
    <row r="283" ht="13.5" customHeight="1">
      <c r="A283" s="1"/>
      <c r="B283" s="1" t="s">
        <v>46</v>
      </c>
      <c r="C283" s="1" t="s">
        <v>47</v>
      </c>
      <c r="D283" s="1"/>
      <c r="E283" s="1" t="s">
        <v>1513</v>
      </c>
      <c r="F283" s="1"/>
      <c r="G283" s="1" t="s">
        <v>49</v>
      </c>
      <c r="H283" s="1" t="s">
        <v>93</v>
      </c>
      <c r="I283" s="1">
        <v>2200.0</v>
      </c>
      <c r="J283" s="1"/>
      <c r="K283" s="1"/>
      <c r="L283" s="1"/>
      <c r="M283" s="1" t="s">
        <v>1514</v>
      </c>
      <c r="N283" s="1" t="s">
        <v>95</v>
      </c>
      <c r="O283" s="1" t="s">
        <v>96</v>
      </c>
      <c r="P283" s="2">
        <v>43811.8556828704</v>
      </c>
      <c r="Q283" s="1" t="s">
        <v>74</v>
      </c>
      <c r="R283" s="3">
        <v>43817.0</v>
      </c>
      <c r="S283" s="1"/>
      <c r="T283" s="1">
        <v>3131307.0</v>
      </c>
      <c r="U283" s="1" t="s">
        <v>819</v>
      </c>
      <c r="V283" s="1" t="s">
        <v>126</v>
      </c>
      <c r="W283" s="1" t="s">
        <v>127</v>
      </c>
      <c r="X283" s="1"/>
      <c r="Y283" s="1"/>
      <c r="Z283" s="1" t="s">
        <v>98</v>
      </c>
      <c r="AA283" s="1" t="s">
        <v>820</v>
      </c>
      <c r="AB283" s="1" t="str">
        <f t="shared" si="17"/>
        <v>***003696**</v>
      </c>
      <c r="AC283" s="1"/>
      <c r="AD283" s="1" t="s">
        <v>62</v>
      </c>
      <c r="AE283" s="1"/>
      <c r="AF283" s="1">
        <v>-42.520222</v>
      </c>
      <c r="AG283" s="1">
        <v>-19.46464</v>
      </c>
      <c r="AH283" s="1" t="s">
        <v>821</v>
      </c>
      <c r="AI283" s="1"/>
      <c r="AJ283" s="1" t="s">
        <v>131</v>
      </c>
      <c r="AK283" s="1"/>
      <c r="AL283" s="1"/>
      <c r="AM283" s="1" t="s">
        <v>65</v>
      </c>
      <c r="AN283" s="1" t="s">
        <v>132</v>
      </c>
      <c r="AO283" s="1"/>
      <c r="AP283" s="2">
        <v>44076.7292476852</v>
      </c>
      <c r="AQ283" s="1"/>
      <c r="AR283" s="1" t="s">
        <v>1504</v>
      </c>
      <c r="AS283" s="1"/>
      <c r="AT283" s="2">
        <v>44269.931099537</v>
      </c>
    </row>
    <row r="284" ht="13.5" customHeight="1">
      <c r="A284" s="1"/>
      <c r="B284" s="1" t="s">
        <v>46</v>
      </c>
      <c r="C284" s="1" t="s">
        <v>47</v>
      </c>
      <c r="D284" s="1"/>
      <c r="E284" s="1" t="s">
        <v>1515</v>
      </c>
      <c r="F284" s="1"/>
      <c r="G284" s="1" t="s">
        <v>49</v>
      </c>
      <c r="H284" s="1" t="s">
        <v>93</v>
      </c>
      <c r="I284" s="1">
        <v>5000.0</v>
      </c>
      <c r="J284" s="1"/>
      <c r="K284" s="1"/>
      <c r="L284" s="1"/>
      <c r="M284" s="1" t="s">
        <v>1516</v>
      </c>
      <c r="N284" s="1" t="s">
        <v>95</v>
      </c>
      <c r="O284" s="1" t="s">
        <v>96</v>
      </c>
      <c r="P284" s="2">
        <v>43811.843587963</v>
      </c>
      <c r="Q284" s="1" t="s">
        <v>74</v>
      </c>
      <c r="R284" s="3">
        <v>43817.0</v>
      </c>
      <c r="S284" s="1"/>
      <c r="T284" s="1">
        <v>3131307.0</v>
      </c>
      <c r="U284" s="1" t="s">
        <v>819</v>
      </c>
      <c r="V284" s="1" t="s">
        <v>126</v>
      </c>
      <c r="W284" s="1" t="s">
        <v>127</v>
      </c>
      <c r="X284" s="1"/>
      <c r="Y284" s="1"/>
      <c r="Z284" s="1" t="s">
        <v>98</v>
      </c>
      <c r="AA284" s="1" t="s">
        <v>820</v>
      </c>
      <c r="AB284" s="1" t="str">
        <f t="shared" si="17"/>
        <v>***003696**</v>
      </c>
      <c r="AC284" s="1"/>
      <c r="AD284" s="1" t="s">
        <v>62</v>
      </c>
      <c r="AE284" s="1"/>
      <c r="AF284" s="1">
        <v>-42.520222</v>
      </c>
      <c r="AG284" s="1">
        <v>-19.46464</v>
      </c>
      <c r="AH284" s="1" t="s">
        <v>1517</v>
      </c>
      <c r="AI284" s="1"/>
      <c r="AJ284" s="1" t="s">
        <v>131</v>
      </c>
      <c r="AK284" s="1"/>
      <c r="AL284" s="1"/>
      <c r="AM284" s="1" t="s">
        <v>65</v>
      </c>
      <c r="AN284" s="1" t="s">
        <v>132</v>
      </c>
      <c r="AO284" s="1"/>
      <c r="AP284" s="2">
        <v>44076.7293402778</v>
      </c>
      <c r="AQ284" s="1"/>
      <c r="AR284" s="1" t="s">
        <v>1508</v>
      </c>
      <c r="AS284" s="1"/>
      <c r="AT284" s="2">
        <v>44269.931099537</v>
      </c>
    </row>
    <row r="285" ht="13.5" customHeight="1">
      <c r="A285" s="1"/>
      <c r="B285" s="1" t="s">
        <v>46</v>
      </c>
      <c r="C285" s="1" t="s">
        <v>47</v>
      </c>
      <c r="D285" s="1"/>
      <c r="E285" s="1" t="s">
        <v>1518</v>
      </c>
      <c r="F285" s="1"/>
      <c r="G285" s="1" t="s">
        <v>49</v>
      </c>
      <c r="H285" s="1" t="s">
        <v>93</v>
      </c>
      <c r="I285" s="1">
        <v>9649.2</v>
      </c>
      <c r="J285" s="1"/>
      <c r="K285" s="1"/>
      <c r="L285" s="1"/>
      <c r="M285" s="1"/>
      <c r="N285" s="1" t="s">
        <v>142</v>
      </c>
      <c r="O285" s="1" t="s">
        <v>143</v>
      </c>
      <c r="P285" s="2">
        <v>43811.8367476852</v>
      </c>
      <c r="Q285" s="1" t="s">
        <v>373</v>
      </c>
      <c r="R285" s="1"/>
      <c r="S285" s="1"/>
      <c r="T285" s="1">
        <v>2208007.0</v>
      </c>
      <c r="U285" s="1" t="s">
        <v>894</v>
      </c>
      <c r="V285" s="1" t="s">
        <v>895</v>
      </c>
      <c r="W285" s="1" t="s">
        <v>113</v>
      </c>
      <c r="X285" s="1"/>
      <c r="Y285" s="1"/>
      <c r="Z285" s="1" t="s">
        <v>147</v>
      </c>
      <c r="AA285" s="1" t="s">
        <v>1519</v>
      </c>
      <c r="AB285" s="1" t="str">
        <f>"***756434**"</f>
        <v>***756434**</v>
      </c>
      <c r="AC285" s="1"/>
      <c r="AD285" s="1" t="s">
        <v>149</v>
      </c>
      <c r="AE285" s="1"/>
      <c r="AF285" s="1">
        <v>-41.516666</v>
      </c>
      <c r="AG285" s="1">
        <v>-7.064445</v>
      </c>
      <c r="AH285" s="1" t="s">
        <v>1520</v>
      </c>
      <c r="AI285" s="1"/>
      <c r="AJ285" s="1" t="s">
        <v>898</v>
      </c>
      <c r="AK285" s="1"/>
      <c r="AL285" s="1"/>
      <c r="AM285" s="1" t="s">
        <v>65</v>
      </c>
      <c r="AN285" s="1" t="s">
        <v>152</v>
      </c>
      <c r="AO285" s="1"/>
      <c r="AP285" s="2">
        <v>44050.7594097222</v>
      </c>
      <c r="AQ285" s="1"/>
      <c r="AR285" s="1" t="s">
        <v>280</v>
      </c>
      <c r="AS285" s="1"/>
      <c r="AT285" s="2">
        <v>44269.931099537</v>
      </c>
    </row>
    <row r="286" ht="13.5" customHeight="1">
      <c r="A286" s="1"/>
      <c r="B286" s="1" t="s">
        <v>46</v>
      </c>
      <c r="C286" s="1" t="s">
        <v>47</v>
      </c>
      <c r="D286" s="1"/>
      <c r="E286" s="1" t="s">
        <v>1521</v>
      </c>
      <c r="F286" s="1"/>
      <c r="G286" s="1" t="s">
        <v>49</v>
      </c>
      <c r="H286" s="1" t="s">
        <v>93</v>
      </c>
      <c r="I286" s="1">
        <v>59320.0</v>
      </c>
      <c r="J286" s="1"/>
      <c r="K286" s="1" t="s">
        <v>51</v>
      </c>
      <c r="L286" s="1"/>
      <c r="M286" s="1" t="s">
        <v>1522</v>
      </c>
      <c r="N286" s="1" t="s">
        <v>53</v>
      </c>
      <c r="O286" s="1" t="s">
        <v>54</v>
      </c>
      <c r="P286" s="2">
        <v>43811.8009490741</v>
      </c>
      <c r="Q286" s="1" t="s">
        <v>373</v>
      </c>
      <c r="R286" s="1"/>
      <c r="S286" s="1"/>
      <c r="T286" s="1">
        <v>1505106.0</v>
      </c>
      <c r="U286" s="1" t="s">
        <v>762</v>
      </c>
      <c r="V286" s="1" t="s">
        <v>193</v>
      </c>
      <c r="W286" s="1" t="s">
        <v>177</v>
      </c>
      <c r="X286" s="1"/>
      <c r="Y286" s="1"/>
      <c r="Z286" s="1" t="s">
        <v>60</v>
      </c>
      <c r="AA286" s="1" t="s">
        <v>1523</v>
      </c>
      <c r="AB286" s="1" t="str">
        <f>"***194831**"</f>
        <v>***194831**</v>
      </c>
      <c r="AC286" s="1"/>
      <c r="AD286" s="1" t="s">
        <v>149</v>
      </c>
      <c r="AE286" s="1"/>
      <c r="AF286" s="1">
        <v>-55.513611</v>
      </c>
      <c r="AG286" s="1">
        <v>-1.919722</v>
      </c>
      <c r="AH286" s="1" t="s">
        <v>1524</v>
      </c>
      <c r="AI286" s="1"/>
      <c r="AJ286" s="1" t="s">
        <v>765</v>
      </c>
      <c r="AK286" s="1"/>
      <c r="AL286" s="1"/>
      <c r="AM286" s="1" t="s">
        <v>65</v>
      </c>
      <c r="AN286" s="1" t="s">
        <v>766</v>
      </c>
      <c r="AO286" s="1"/>
      <c r="AP286" s="2">
        <v>43811.8403240741</v>
      </c>
      <c r="AQ286" s="1"/>
      <c r="AR286" s="1" t="s">
        <v>1096</v>
      </c>
      <c r="AS286" s="1"/>
      <c r="AT286" s="2">
        <v>44269.931099537</v>
      </c>
    </row>
    <row r="287" ht="13.5" customHeight="1">
      <c r="A287" s="1"/>
      <c r="B287" s="1" t="s">
        <v>46</v>
      </c>
      <c r="C287" s="1" t="s">
        <v>47</v>
      </c>
      <c r="D287" s="1"/>
      <c r="E287" s="1" t="s">
        <v>1525</v>
      </c>
      <c r="F287" s="1"/>
      <c r="G287" s="1" t="s">
        <v>49</v>
      </c>
      <c r="H287" s="1" t="s">
        <v>50</v>
      </c>
      <c r="I287" s="1">
        <v>400000.0</v>
      </c>
      <c r="J287" s="1"/>
      <c r="K287" s="1" t="s">
        <v>51</v>
      </c>
      <c r="L287" s="1"/>
      <c r="M287" s="1" t="s">
        <v>1526</v>
      </c>
      <c r="N287" s="1" t="s">
        <v>283</v>
      </c>
      <c r="O287" s="1" t="s">
        <v>1133</v>
      </c>
      <c r="P287" s="2">
        <v>43811.7608101852</v>
      </c>
      <c r="Q287" s="1" t="s">
        <v>74</v>
      </c>
      <c r="R287" s="1"/>
      <c r="S287" s="1"/>
      <c r="T287" s="1">
        <v>3302403.0</v>
      </c>
      <c r="U287" s="1" t="s">
        <v>1371</v>
      </c>
      <c r="V287" s="1" t="s">
        <v>287</v>
      </c>
      <c r="W287" s="1" t="s">
        <v>288</v>
      </c>
      <c r="X287" s="1"/>
      <c r="Y287" s="1"/>
      <c r="Z287" s="1" t="s">
        <v>128</v>
      </c>
      <c r="AA287" s="1" t="s">
        <v>1449</v>
      </c>
      <c r="AB287" s="1" t="str">
        <f t="shared" ref="AB287:AB288" si="18">"33000167100750"</f>
        <v>33000167100750</v>
      </c>
      <c r="AC287" s="1"/>
      <c r="AD287" s="1" t="s">
        <v>149</v>
      </c>
      <c r="AE287" s="1"/>
      <c r="AF287" s="1">
        <v>-40.47028</v>
      </c>
      <c r="AG287" s="1">
        <v>-22.464724</v>
      </c>
      <c r="AH287" s="1" t="s">
        <v>1527</v>
      </c>
      <c r="AI287" s="1"/>
      <c r="AJ287" s="1" t="s">
        <v>172</v>
      </c>
      <c r="AK287" s="1"/>
      <c r="AL287" s="1"/>
      <c r="AM287" s="1" t="s">
        <v>65</v>
      </c>
      <c r="AN287" s="1" t="s">
        <v>720</v>
      </c>
      <c r="AO287" s="1"/>
      <c r="AP287" s="2">
        <v>44013.7161226852</v>
      </c>
      <c r="AQ287" s="1"/>
      <c r="AR287" s="1" t="s">
        <v>1360</v>
      </c>
      <c r="AS287" s="1" t="s">
        <v>1528</v>
      </c>
      <c r="AT287" s="2">
        <v>44269.931099537</v>
      </c>
    </row>
    <row r="288" ht="13.5" customHeight="1">
      <c r="A288" s="1"/>
      <c r="B288" s="1" t="s">
        <v>46</v>
      </c>
      <c r="C288" s="1" t="s">
        <v>47</v>
      </c>
      <c r="D288" s="1"/>
      <c r="E288" s="1" t="s">
        <v>1529</v>
      </c>
      <c r="F288" s="1"/>
      <c r="G288" s="1" t="s">
        <v>49</v>
      </c>
      <c r="H288" s="1" t="s">
        <v>50</v>
      </c>
      <c r="I288" s="1">
        <v>100000.0</v>
      </c>
      <c r="J288" s="1"/>
      <c r="K288" s="1" t="s">
        <v>51</v>
      </c>
      <c r="L288" s="1"/>
      <c r="M288" s="1" t="s">
        <v>1530</v>
      </c>
      <c r="N288" s="1" t="s">
        <v>283</v>
      </c>
      <c r="O288" s="1" t="s">
        <v>1133</v>
      </c>
      <c r="P288" s="2">
        <v>43811.7503472222</v>
      </c>
      <c r="Q288" s="1" t="s">
        <v>74</v>
      </c>
      <c r="R288" s="1"/>
      <c r="S288" s="1"/>
      <c r="T288" s="1">
        <v>3302403.0</v>
      </c>
      <c r="U288" s="1" t="s">
        <v>1371</v>
      </c>
      <c r="V288" s="1" t="s">
        <v>287</v>
      </c>
      <c r="W288" s="1" t="s">
        <v>288</v>
      </c>
      <c r="X288" s="1"/>
      <c r="Y288" s="1"/>
      <c r="Z288" s="1" t="s">
        <v>128</v>
      </c>
      <c r="AA288" s="1" t="s">
        <v>1449</v>
      </c>
      <c r="AB288" s="1" t="str">
        <f t="shared" si="18"/>
        <v>33000167100750</v>
      </c>
      <c r="AC288" s="1"/>
      <c r="AD288" s="1" t="s">
        <v>149</v>
      </c>
      <c r="AE288" s="1"/>
      <c r="AF288" s="1">
        <v>-40.47028</v>
      </c>
      <c r="AG288" s="1">
        <v>-22.464724</v>
      </c>
      <c r="AH288" s="1" t="s">
        <v>1527</v>
      </c>
      <c r="AI288" s="1"/>
      <c r="AJ288" s="1" t="s">
        <v>172</v>
      </c>
      <c r="AK288" s="1"/>
      <c r="AL288" s="1"/>
      <c r="AM288" s="1" t="s">
        <v>65</v>
      </c>
      <c r="AN288" s="1" t="s">
        <v>720</v>
      </c>
      <c r="AO288" s="1"/>
      <c r="AP288" s="2">
        <v>44013.7162152778</v>
      </c>
      <c r="AQ288" s="1"/>
      <c r="AR288" s="1" t="s">
        <v>1360</v>
      </c>
      <c r="AS288" s="1" t="s">
        <v>1531</v>
      </c>
      <c r="AT288" s="2">
        <v>44269.931099537</v>
      </c>
    </row>
    <row r="289" ht="13.5" customHeight="1">
      <c r="A289" s="1">
        <v>2037329.0</v>
      </c>
      <c r="B289" s="1" t="s">
        <v>67</v>
      </c>
      <c r="C289" s="1" t="s">
        <v>68</v>
      </c>
      <c r="D289" s="1" t="s">
        <v>46</v>
      </c>
      <c r="E289" s="1" t="s">
        <v>1532</v>
      </c>
      <c r="F289" s="1"/>
      <c r="G289" s="1" t="s">
        <v>70</v>
      </c>
      <c r="H289" s="1" t="s">
        <v>50</v>
      </c>
      <c r="I289" s="1">
        <v>2200.0</v>
      </c>
      <c r="J289" s="1"/>
      <c r="K289" s="1"/>
      <c r="L289" s="1" t="s">
        <v>131</v>
      </c>
      <c r="M289" s="1" t="s">
        <v>1533</v>
      </c>
      <c r="N289" s="1" t="s">
        <v>95</v>
      </c>
      <c r="O289" s="1" t="s">
        <v>96</v>
      </c>
      <c r="P289" s="2">
        <v>43811.75</v>
      </c>
      <c r="Q289" s="1" t="s">
        <v>74</v>
      </c>
      <c r="R289" s="3">
        <v>43817.0</v>
      </c>
      <c r="S289" s="1"/>
      <c r="T289" s="1">
        <v>3131307.0</v>
      </c>
      <c r="U289" s="1" t="s">
        <v>819</v>
      </c>
      <c r="V289" s="1" t="s">
        <v>126</v>
      </c>
      <c r="W289" s="1" t="s">
        <v>127</v>
      </c>
      <c r="X289" s="1"/>
      <c r="Y289" s="1" t="str">
        <f>"02015007409201931"</f>
        <v>02015007409201931</v>
      </c>
      <c r="Z289" s="1" t="s">
        <v>98</v>
      </c>
      <c r="AA289" s="1" t="s">
        <v>820</v>
      </c>
      <c r="AB289" s="1" t="str">
        <f>"***003696**"</f>
        <v>***003696**</v>
      </c>
      <c r="AC289" s="1"/>
      <c r="AD289" s="1"/>
      <c r="AE289" s="1"/>
      <c r="AF289" s="1">
        <v>-42.552223</v>
      </c>
      <c r="AG289" s="1">
        <v>-19.59639</v>
      </c>
      <c r="AH289" s="1" t="s">
        <v>821</v>
      </c>
      <c r="AI289" s="1"/>
      <c r="AJ289" s="1" t="s">
        <v>131</v>
      </c>
      <c r="AK289" s="1"/>
      <c r="AL289" s="1" t="s">
        <v>79</v>
      </c>
      <c r="AM289" s="1" t="s">
        <v>65</v>
      </c>
      <c r="AN289" s="1" t="s">
        <v>132</v>
      </c>
      <c r="AO289" s="2">
        <v>43992.0</v>
      </c>
      <c r="AP289" s="2">
        <v>43992.4942708333</v>
      </c>
      <c r="AQ289" s="1" t="s">
        <v>80</v>
      </c>
      <c r="AR289" s="1" t="s">
        <v>1534</v>
      </c>
      <c r="AS289" s="1"/>
      <c r="AT289" s="2">
        <v>44269.931099537</v>
      </c>
    </row>
    <row r="290" ht="13.5" customHeight="1">
      <c r="A290" s="1">
        <v>2043624.0</v>
      </c>
      <c r="B290" s="1" t="s">
        <v>67</v>
      </c>
      <c r="C290" s="1" t="s">
        <v>68</v>
      </c>
      <c r="D290" s="1" t="s">
        <v>46</v>
      </c>
      <c r="E290" s="1" t="s">
        <v>1535</v>
      </c>
      <c r="F290" s="1"/>
      <c r="G290" s="1" t="s">
        <v>70</v>
      </c>
      <c r="H290" s="1" t="s">
        <v>50</v>
      </c>
      <c r="I290" s="1">
        <v>400000.0</v>
      </c>
      <c r="J290" s="1"/>
      <c r="K290" s="1"/>
      <c r="L290" s="1" t="s">
        <v>172</v>
      </c>
      <c r="M290" s="1" t="s">
        <v>1536</v>
      </c>
      <c r="N290" s="1" t="s">
        <v>283</v>
      </c>
      <c r="O290" s="1" t="s">
        <v>1133</v>
      </c>
      <c r="P290" s="2">
        <v>43811.75</v>
      </c>
      <c r="Q290" s="1" t="s">
        <v>74</v>
      </c>
      <c r="R290" s="1"/>
      <c r="S290" s="1"/>
      <c r="T290" s="1">
        <v>3302403.0</v>
      </c>
      <c r="U290" s="1" t="s">
        <v>1371</v>
      </c>
      <c r="V290" s="1" t="s">
        <v>287</v>
      </c>
      <c r="W290" s="1" t="s">
        <v>288</v>
      </c>
      <c r="X290" s="1"/>
      <c r="Y290" s="1" t="str">
        <f>"02001035783201986"</f>
        <v>02001035783201986</v>
      </c>
      <c r="Z290" s="1" t="s">
        <v>128</v>
      </c>
      <c r="AA290" s="1" t="s">
        <v>1537</v>
      </c>
      <c r="AB290" s="1" t="str">
        <f>"33000167000454"</f>
        <v>33000167000454</v>
      </c>
      <c r="AC290" s="1"/>
      <c r="AD290" s="1"/>
      <c r="AE290" s="1"/>
      <c r="AF290" s="1">
        <v>-40.426113</v>
      </c>
      <c r="AG290" s="1">
        <v>-22.437222</v>
      </c>
      <c r="AH290" s="1" t="s">
        <v>1538</v>
      </c>
      <c r="AI290" s="1"/>
      <c r="AJ290" s="1" t="s">
        <v>172</v>
      </c>
      <c r="AK290" s="1"/>
      <c r="AL290" s="1" t="s">
        <v>79</v>
      </c>
      <c r="AM290" s="1" t="s">
        <v>65</v>
      </c>
      <c r="AN290" s="1" t="s">
        <v>720</v>
      </c>
      <c r="AO290" s="2">
        <v>44245.0</v>
      </c>
      <c r="AP290" s="2">
        <v>44245.8221990741</v>
      </c>
      <c r="AQ290" s="1" t="s">
        <v>80</v>
      </c>
      <c r="AR290" s="1" t="s">
        <v>1485</v>
      </c>
      <c r="AS290" s="1" t="s">
        <v>1361</v>
      </c>
      <c r="AT290" s="2">
        <v>44269.931099537</v>
      </c>
    </row>
    <row r="291" ht="13.5" customHeight="1">
      <c r="A291" s="1">
        <v>2043655.0</v>
      </c>
      <c r="B291" s="1" t="s">
        <v>67</v>
      </c>
      <c r="C291" s="1" t="s">
        <v>68</v>
      </c>
      <c r="D291" s="1" t="s">
        <v>46</v>
      </c>
      <c r="E291" s="1" t="s">
        <v>1539</v>
      </c>
      <c r="F291" s="1"/>
      <c r="G291" s="1" t="s">
        <v>70</v>
      </c>
      <c r="H291" s="1" t="s">
        <v>50</v>
      </c>
      <c r="I291" s="1">
        <v>7510500.0</v>
      </c>
      <c r="J291" s="1"/>
      <c r="K291" s="1"/>
      <c r="L291" s="1" t="s">
        <v>172</v>
      </c>
      <c r="M291" s="1" t="s">
        <v>1540</v>
      </c>
      <c r="N291" s="1" t="s">
        <v>72</v>
      </c>
      <c r="O291" s="1" t="s">
        <v>213</v>
      </c>
      <c r="P291" s="2">
        <v>43811.75</v>
      </c>
      <c r="Q291" s="1" t="s">
        <v>74</v>
      </c>
      <c r="R291" s="1"/>
      <c r="S291" s="1"/>
      <c r="T291" s="1">
        <v>5300108.0</v>
      </c>
      <c r="U291" s="1" t="s">
        <v>1541</v>
      </c>
      <c r="V291" s="1" t="s">
        <v>1542</v>
      </c>
      <c r="W291" s="1" t="s">
        <v>530</v>
      </c>
      <c r="X291" s="1"/>
      <c r="Y291" s="1" t="str">
        <f>"02001035630201939"</f>
        <v>02001035630201939</v>
      </c>
      <c r="Z291" s="1" t="s">
        <v>215</v>
      </c>
      <c r="AA291" s="1" t="s">
        <v>1543</v>
      </c>
      <c r="AB291" s="1" t="str">
        <f>"04892707000100"</f>
        <v>04892707000100</v>
      </c>
      <c r="AC291" s="1"/>
      <c r="AD291" s="1"/>
      <c r="AE291" s="1"/>
      <c r="AF291" s="1">
        <v>-47.863331</v>
      </c>
      <c r="AG291" s="1">
        <v>-15.768333</v>
      </c>
      <c r="AH291" s="1" t="s">
        <v>1544</v>
      </c>
      <c r="AI291" s="1"/>
      <c r="AJ291" s="1" t="s">
        <v>172</v>
      </c>
      <c r="AK291" s="1"/>
      <c r="AL291" s="1" t="s">
        <v>79</v>
      </c>
      <c r="AM291" s="1" t="s">
        <v>65</v>
      </c>
      <c r="AN291" s="1" t="s">
        <v>720</v>
      </c>
      <c r="AO291" s="2">
        <v>44246.0</v>
      </c>
      <c r="AP291" s="2">
        <v>44246.7605092593</v>
      </c>
      <c r="AQ291" s="1" t="s">
        <v>80</v>
      </c>
      <c r="AR291" s="1" t="s">
        <v>909</v>
      </c>
      <c r="AS291" s="1" t="s">
        <v>1545</v>
      </c>
      <c r="AT291" s="2">
        <v>44269.931099537</v>
      </c>
    </row>
    <row r="292" ht="13.5" customHeight="1">
      <c r="A292" s="1"/>
      <c r="B292" s="1" t="s">
        <v>46</v>
      </c>
      <c r="C292" s="1" t="s">
        <v>47</v>
      </c>
      <c r="D292" s="1"/>
      <c r="E292" s="1" t="s">
        <v>1546</v>
      </c>
      <c r="F292" s="1"/>
      <c r="G292" s="1" t="s">
        <v>49</v>
      </c>
      <c r="H292" s="1" t="s">
        <v>93</v>
      </c>
      <c r="I292" s="1">
        <v>10000.0</v>
      </c>
      <c r="J292" s="1"/>
      <c r="K292" s="1" t="s">
        <v>51</v>
      </c>
      <c r="L292" s="1"/>
      <c r="M292" s="1" t="s">
        <v>1547</v>
      </c>
      <c r="N292" s="1" t="s">
        <v>977</v>
      </c>
      <c r="O292" s="1" t="s">
        <v>978</v>
      </c>
      <c r="P292" s="2">
        <v>43811.7458680556</v>
      </c>
      <c r="Q292" s="1" t="s">
        <v>373</v>
      </c>
      <c r="R292" s="1"/>
      <c r="S292" s="1"/>
      <c r="T292" s="1">
        <v>2511202.0</v>
      </c>
      <c r="U292" s="1" t="s">
        <v>1548</v>
      </c>
      <c r="V292" s="1" t="s">
        <v>728</v>
      </c>
      <c r="W292" s="1" t="s">
        <v>59</v>
      </c>
      <c r="X292" s="1"/>
      <c r="Y292" s="1"/>
      <c r="Z292" s="1" t="s">
        <v>980</v>
      </c>
      <c r="AA292" s="1" t="s">
        <v>1549</v>
      </c>
      <c r="AB292" s="1" t="str">
        <f>"31093639000192"</f>
        <v>31093639000192</v>
      </c>
      <c r="AC292" s="1"/>
      <c r="AD292" s="1" t="s">
        <v>62</v>
      </c>
      <c r="AE292" s="1"/>
      <c r="AF292" s="1">
        <v>-38.099167</v>
      </c>
      <c r="AG292" s="1">
        <v>-7.391944</v>
      </c>
      <c r="AH292" s="1" t="s">
        <v>1550</v>
      </c>
      <c r="AI292" s="1"/>
      <c r="AJ292" s="1" t="s">
        <v>731</v>
      </c>
      <c r="AK292" s="1"/>
      <c r="AL292" s="1"/>
      <c r="AM292" s="1" t="s">
        <v>65</v>
      </c>
      <c r="AN292" s="1" t="s">
        <v>1551</v>
      </c>
      <c r="AO292" s="1"/>
      <c r="AP292" s="2">
        <v>43811.7558217593</v>
      </c>
      <c r="AQ292" s="1"/>
      <c r="AR292" s="1" t="s">
        <v>984</v>
      </c>
      <c r="AS292" s="1" t="s">
        <v>1552</v>
      </c>
      <c r="AT292" s="2">
        <v>44269.931099537</v>
      </c>
    </row>
    <row r="293" ht="13.5" customHeight="1">
      <c r="A293" s="1"/>
      <c r="B293" s="1" t="s">
        <v>46</v>
      </c>
      <c r="C293" s="1" t="s">
        <v>47</v>
      </c>
      <c r="D293" s="1"/>
      <c r="E293" s="1" t="s">
        <v>1553</v>
      </c>
      <c r="F293" s="1"/>
      <c r="G293" s="1" t="s">
        <v>49</v>
      </c>
      <c r="H293" s="1" t="s">
        <v>50</v>
      </c>
      <c r="I293" s="1">
        <v>2800000.0</v>
      </c>
      <c r="J293" s="1"/>
      <c r="K293" s="1" t="s">
        <v>51</v>
      </c>
      <c r="L293" s="1"/>
      <c r="M293" s="1" t="s">
        <v>1554</v>
      </c>
      <c r="N293" s="1" t="s">
        <v>283</v>
      </c>
      <c r="O293" s="1" t="s">
        <v>1133</v>
      </c>
      <c r="P293" s="2">
        <v>43811.7305555556</v>
      </c>
      <c r="Q293" s="1" t="s">
        <v>74</v>
      </c>
      <c r="R293" s="1"/>
      <c r="S293" s="1"/>
      <c r="T293" s="1">
        <v>3302403.0</v>
      </c>
      <c r="U293" s="1" t="s">
        <v>1371</v>
      </c>
      <c r="V293" s="1" t="s">
        <v>287</v>
      </c>
      <c r="W293" s="1" t="s">
        <v>288</v>
      </c>
      <c r="X293" s="1"/>
      <c r="Y293" s="1"/>
      <c r="Z293" s="1" t="s">
        <v>128</v>
      </c>
      <c r="AA293" s="1" t="s">
        <v>1449</v>
      </c>
      <c r="AB293" s="1" t="str">
        <f>"33000167100750"</f>
        <v>33000167100750</v>
      </c>
      <c r="AC293" s="1"/>
      <c r="AD293" s="1" t="s">
        <v>149</v>
      </c>
      <c r="AE293" s="1"/>
      <c r="AF293" s="1">
        <v>-40.47028</v>
      </c>
      <c r="AG293" s="1">
        <v>-22.464724</v>
      </c>
      <c r="AH293" s="1" t="s">
        <v>1527</v>
      </c>
      <c r="AI293" s="1"/>
      <c r="AJ293" s="1" t="s">
        <v>172</v>
      </c>
      <c r="AK293" s="1"/>
      <c r="AL293" s="1"/>
      <c r="AM293" s="1" t="s">
        <v>65</v>
      </c>
      <c r="AN293" s="1" t="s">
        <v>720</v>
      </c>
      <c r="AO293" s="1"/>
      <c r="AP293" s="2">
        <v>44013.7163888889</v>
      </c>
      <c r="AQ293" s="1"/>
      <c r="AR293" s="1" t="s">
        <v>1360</v>
      </c>
      <c r="AS293" s="1" t="s">
        <v>1361</v>
      </c>
      <c r="AT293" s="2">
        <v>44269.931099537</v>
      </c>
    </row>
    <row r="294" ht="13.5" customHeight="1">
      <c r="A294" s="1"/>
      <c r="B294" s="1" t="s">
        <v>46</v>
      </c>
      <c r="C294" s="1" t="s">
        <v>47</v>
      </c>
      <c r="D294" s="1"/>
      <c r="E294" s="1" t="s">
        <v>1555</v>
      </c>
      <c r="F294" s="1"/>
      <c r="G294" s="1" t="s">
        <v>49</v>
      </c>
      <c r="H294" s="1" t="s">
        <v>50</v>
      </c>
      <c r="I294" s="1">
        <v>4000.0</v>
      </c>
      <c r="J294" s="1"/>
      <c r="K294" s="1" t="s">
        <v>140</v>
      </c>
      <c r="L294" s="1"/>
      <c r="M294" s="1" t="s">
        <v>1556</v>
      </c>
      <c r="N294" s="1" t="s">
        <v>212</v>
      </c>
      <c r="O294" s="1" t="s">
        <v>213</v>
      </c>
      <c r="P294" s="2">
        <v>43811.7104398148</v>
      </c>
      <c r="Q294" s="1" t="s">
        <v>74</v>
      </c>
      <c r="R294" s="1"/>
      <c r="S294" s="1"/>
      <c r="T294" s="1">
        <v>2401206.0</v>
      </c>
      <c r="U294" s="1" t="s">
        <v>1557</v>
      </c>
      <c r="V294" s="1" t="s">
        <v>1424</v>
      </c>
      <c r="W294" s="1" t="s">
        <v>113</v>
      </c>
      <c r="X294" s="1"/>
      <c r="Y294" s="1"/>
      <c r="Z294" s="1" t="s">
        <v>215</v>
      </c>
      <c r="AA294" s="1" t="s">
        <v>1558</v>
      </c>
      <c r="AB294" s="1" t="str">
        <f t="shared" ref="AB294:AB295" si="19">"15527906000802"</f>
        <v>15527906000802</v>
      </c>
      <c r="AC294" s="1"/>
      <c r="AD294" s="1" t="s">
        <v>149</v>
      </c>
      <c r="AE294" s="1"/>
      <c r="AF294" s="1">
        <v>-35.275276</v>
      </c>
      <c r="AG294" s="1">
        <v>-6.246027</v>
      </c>
      <c r="AH294" s="1" t="s">
        <v>1559</v>
      </c>
      <c r="AI294" s="1"/>
      <c r="AJ294" s="1" t="s">
        <v>172</v>
      </c>
      <c r="AK294" s="1"/>
      <c r="AL294" s="1"/>
      <c r="AM294" s="1" t="s">
        <v>65</v>
      </c>
      <c r="AN294" s="1" t="s">
        <v>720</v>
      </c>
      <c r="AO294" s="1"/>
      <c r="AP294" s="2">
        <v>44036.7343865741</v>
      </c>
      <c r="AQ294" s="1"/>
      <c r="AR294" s="1" t="s">
        <v>494</v>
      </c>
      <c r="AS294" s="1" t="s">
        <v>1560</v>
      </c>
      <c r="AT294" s="2">
        <v>44269.931099537</v>
      </c>
    </row>
    <row r="295" ht="13.5" customHeight="1">
      <c r="A295" s="1">
        <v>2044092.0</v>
      </c>
      <c r="B295" s="1" t="s">
        <v>67</v>
      </c>
      <c r="C295" s="1" t="s">
        <v>68</v>
      </c>
      <c r="D295" s="1" t="s">
        <v>46</v>
      </c>
      <c r="E295" s="1" t="s">
        <v>1561</v>
      </c>
      <c r="F295" s="1"/>
      <c r="G295" s="1" t="s">
        <v>70</v>
      </c>
      <c r="H295" s="1" t="s">
        <v>50</v>
      </c>
      <c r="I295" s="1">
        <v>50500.0</v>
      </c>
      <c r="J295" s="1"/>
      <c r="K295" s="1"/>
      <c r="L295" s="1" t="s">
        <v>65</v>
      </c>
      <c r="M295" s="1" t="s">
        <v>1562</v>
      </c>
      <c r="N295" s="1" t="s">
        <v>72</v>
      </c>
      <c r="O295" s="1" t="s">
        <v>213</v>
      </c>
      <c r="P295" s="2">
        <v>43811.7083333333</v>
      </c>
      <c r="Q295" s="1" t="s">
        <v>74</v>
      </c>
      <c r="R295" s="1"/>
      <c r="S295" s="1"/>
      <c r="T295" s="1">
        <v>2401206.0</v>
      </c>
      <c r="U295" s="1" t="s">
        <v>1557</v>
      </c>
      <c r="V295" s="1" t="s">
        <v>1424</v>
      </c>
      <c r="W295" s="1" t="s">
        <v>113</v>
      </c>
      <c r="X295" s="1"/>
      <c r="Y295" s="1" t="str">
        <f>"02001035631201983"</f>
        <v>02001035631201983</v>
      </c>
      <c r="Z295" s="1" t="s">
        <v>215</v>
      </c>
      <c r="AA295" s="1" t="s">
        <v>1558</v>
      </c>
      <c r="AB295" s="1" t="str">
        <f t="shared" si="19"/>
        <v>15527906000802</v>
      </c>
      <c r="AC295" s="1"/>
      <c r="AD295" s="1" t="s">
        <v>116</v>
      </c>
      <c r="AE295" s="1"/>
      <c r="AF295" s="1">
        <v>-35.275278</v>
      </c>
      <c r="AG295" s="1">
        <v>-6.245833</v>
      </c>
      <c r="AH295" s="1" t="s">
        <v>1563</v>
      </c>
      <c r="AI295" s="1"/>
      <c r="AJ295" s="1" t="s">
        <v>172</v>
      </c>
      <c r="AK295" s="1" t="s">
        <v>1564</v>
      </c>
      <c r="AL295" s="1" t="s">
        <v>79</v>
      </c>
      <c r="AM295" s="1" t="s">
        <v>65</v>
      </c>
      <c r="AN295" s="1" t="s">
        <v>720</v>
      </c>
      <c r="AO295" s="2">
        <v>44260.0</v>
      </c>
      <c r="AP295" s="2">
        <v>44260.835625</v>
      </c>
      <c r="AQ295" s="1" t="s">
        <v>80</v>
      </c>
      <c r="AR295" s="1" t="s">
        <v>1565</v>
      </c>
      <c r="AS295" s="1" t="s">
        <v>722</v>
      </c>
      <c r="AT295" s="2">
        <v>44269.931099537</v>
      </c>
    </row>
    <row r="296" ht="13.5" customHeight="1">
      <c r="A296" s="1"/>
      <c r="B296" s="1" t="s">
        <v>46</v>
      </c>
      <c r="C296" s="1" t="s">
        <v>47</v>
      </c>
      <c r="D296" s="1"/>
      <c r="E296" s="1" t="s">
        <v>1566</v>
      </c>
      <c r="F296" s="1"/>
      <c r="G296" s="1" t="s">
        <v>49</v>
      </c>
      <c r="H296" s="1" t="s">
        <v>50</v>
      </c>
      <c r="I296" s="1">
        <v>100000.0</v>
      </c>
      <c r="J296" s="1"/>
      <c r="K296" s="1" t="s">
        <v>51</v>
      </c>
      <c r="L296" s="1"/>
      <c r="M296" s="1" t="s">
        <v>1567</v>
      </c>
      <c r="N296" s="1" t="s">
        <v>283</v>
      </c>
      <c r="O296" s="1" t="s">
        <v>1133</v>
      </c>
      <c r="P296" s="2">
        <v>43811.6908680555</v>
      </c>
      <c r="Q296" s="1" t="s">
        <v>74</v>
      </c>
      <c r="R296" s="1"/>
      <c r="S296" s="1"/>
      <c r="T296" s="1">
        <v>3204302.0</v>
      </c>
      <c r="U296" s="1" t="s">
        <v>1380</v>
      </c>
      <c r="V296" s="1" t="s">
        <v>403</v>
      </c>
      <c r="W296" s="1" t="s">
        <v>288</v>
      </c>
      <c r="X296" s="1"/>
      <c r="Y296" s="1"/>
      <c r="Z296" s="1" t="s">
        <v>128</v>
      </c>
      <c r="AA296" s="1" t="s">
        <v>1381</v>
      </c>
      <c r="AB296" s="1" t="str">
        <f t="shared" ref="AB296:AB297" si="20">"33000167000454"</f>
        <v>33000167000454</v>
      </c>
      <c r="AC296" s="1"/>
      <c r="AD296" s="1" t="s">
        <v>149</v>
      </c>
      <c r="AE296" s="1"/>
      <c r="AF296" s="1">
        <v>-39.525555</v>
      </c>
      <c r="AG296" s="1">
        <v>-20.042778</v>
      </c>
      <c r="AH296" s="1" t="s">
        <v>1568</v>
      </c>
      <c r="AI296" s="1"/>
      <c r="AJ296" s="1" t="s">
        <v>172</v>
      </c>
      <c r="AK296" s="1"/>
      <c r="AL296" s="1"/>
      <c r="AM296" s="1" t="s">
        <v>65</v>
      </c>
      <c r="AN296" s="1" t="s">
        <v>720</v>
      </c>
      <c r="AO296" s="1"/>
      <c r="AP296" s="2">
        <v>44013.7165740741</v>
      </c>
      <c r="AQ296" s="1"/>
      <c r="AR296" s="1" t="s">
        <v>1360</v>
      </c>
      <c r="AS296" s="1" t="s">
        <v>1361</v>
      </c>
      <c r="AT296" s="2">
        <v>44269.931099537</v>
      </c>
    </row>
    <row r="297" ht="13.5" customHeight="1">
      <c r="A297" s="1"/>
      <c r="B297" s="1" t="s">
        <v>46</v>
      </c>
      <c r="C297" s="1" t="s">
        <v>47</v>
      </c>
      <c r="D297" s="1"/>
      <c r="E297" s="1" t="s">
        <v>1569</v>
      </c>
      <c r="F297" s="1"/>
      <c r="G297" s="1" t="s">
        <v>49</v>
      </c>
      <c r="H297" s="1" t="s">
        <v>50</v>
      </c>
      <c r="I297" s="1">
        <v>100000.0</v>
      </c>
      <c r="J297" s="1"/>
      <c r="K297" s="1" t="s">
        <v>51</v>
      </c>
      <c r="L297" s="1"/>
      <c r="M297" s="1" t="s">
        <v>1570</v>
      </c>
      <c r="N297" s="1" t="s">
        <v>283</v>
      </c>
      <c r="O297" s="1" t="s">
        <v>1133</v>
      </c>
      <c r="P297" s="2">
        <v>43811.6815509259</v>
      </c>
      <c r="Q297" s="1" t="s">
        <v>74</v>
      </c>
      <c r="R297" s="1"/>
      <c r="S297" s="1"/>
      <c r="T297" s="1">
        <v>3204302.0</v>
      </c>
      <c r="U297" s="1" t="s">
        <v>1380</v>
      </c>
      <c r="V297" s="1" t="s">
        <v>403</v>
      </c>
      <c r="W297" s="1" t="s">
        <v>288</v>
      </c>
      <c r="X297" s="1"/>
      <c r="Y297" s="1"/>
      <c r="Z297" s="1" t="s">
        <v>128</v>
      </c>
      <c r="AA297" s="1" t="s">
        <v>1381</v>
      </c>
      <c r="AB297" s="1" t="str">
        <f t="shared" si="20"/>
        <v>33000167000454</v>
      </c>
      <c r="AC297" s="1"/>
      <c r="AD297" s="1" t="s">
        <v>149</v>
      </c>
      <c r="AE297" s="1"/>
      <c r="AF297" s="1">
        <v>-39.525555</v>
      </c>
      <c r="AG297" s="1">
        <v>-20.042778</v>
      </c>
      <c r="AH297" s="1" t="s">
        <v>1568</v>
      </c>
      <c r="AI297" s="1"/>
      <c r="AJ297" s="1" t="s">
        <v>172</v>
      </c>
      <c r="AK297" s="1"/>
      <c r="AL297" s="1"/>
      <c r="AM297" s="1" t="s">
        <v>65</v>
      </c>
      <c r="AN297" s="1" t="s">
        <v>720</v>
      </c>
      <c r="AO297" s="1"/>
      <c r="AP297" s="2">
        <v>44013.7166550926</v>
      </c>
      <c r="AQ297" s="1"/>
      <c r="AR297" s="1" t="s">
        <v>1360</v>
      </c>
      <c r="AS297" s="1" t="s">
        <v>1361</v>
      </c>
      <c r="AT297" s="2">
        <v>44269.931099537</v>
      </c>
    </row>
    <row r="298" ht="13.5" customHeight="1">
      <c r="A298" s="1">
        <v>2035289.0</v>
      </c>
      <c r="B298" s="1" t="s">
        <v>67</v>
      </c>
      <c r="C298" s="1" t="s">
        <v>68</v>
      </c>
      <c r="D298" s="1" t="s">
        <v>46</v>
      </c>
      <c r="E298" s="1" t="s">
        <v>1571</v>
      </c>
      <c r="F298" s="1"/>
      <c r="G298" s="1" t="s">
        <v>70</v>
      </c>
      <c r="H298" s="1" t="s">
        <v>50</v>
      </c>
      <c r="I298" s="1">
        <v>10240.0</v>
      </c>
      <c r="J298" s="1"/>
      <c r="K298" s="1"/>
      <c r="L298" s="1" t="s">
        <v>151</v>
      </c>
      <c r="M298" s="1" t="s">
        <v>1572</v>
      </c>
      <c r="N298" s="1" t="s">
        <v>283</v>
      </c>
      <c r="O298" s="1" t="s">
        <v>978</v>
      </c>
      <c r="P298" s="2">
        <v>43811.6666666667</v>
      </c>
      <c r="Q298" s="1" t="s">
        <v>55</v>
      </c>
      <c r="R298" s="3">
        <v>43811.0</v>
      </c>
      <c r="S298" s="1"/>
      <c r="T298" s="1">
        <v>4316709.0</v>
      </c>
      <c r="U298" s="1" t="s">
        <v>1573</v>
      </c>
      <c r="V298" s="1" t="s">
        <v>145</v>
      </c>
      <c r="W298" s="1" t="s">
        <v>59</v>
      </c>
      <c r="X298" s="1"/>
      <c r="Y298" s="1" t="str">
        <f>"02023003614201929"</f>
        <v>02023003614201929</v>
      </c>
      <c r="Z298" s="1" t="s">
        <v>980</v>
      </c>
      <c r="AA298" s="1" t="s">
        <v>1574</v>
      </c>
      <c r="AB298" s="1" t="str">
        <f>"***421920**"</f>
        <v>***421920**</v>
      </c>
      <c r="AC298" s="1"/>
      <c r="AD298" s="1"/>
      <c r="AE298" s="1"/>
      <c r="AF298" s="1">
        <v>-53.331944</v>
      </c>
      <c r="AG298" s="1">
        <v>-28.551943</v>
      </c>
      <c r="AH298" s="1" t="s">
        <v>1575</v>
      </c>
      <c r="AI298" s="1"/>
      <c r="AJ298" s="1" t="s">
        <v>151</v>
      </c>
      <c r="AK298" s="1"/>
      <c r="AL298" s="1" t="s">
        <v>79</v>
      </c>
      <c r="AM298" s="1" t="s">
        <v>65</v>
      </c>
      <c r="AN298" s="1" t="s">
        <v>1551</v>
      </c>
      <c r="AO298" s="2">
        <v>43900.0</v>
      </c>
      <c r="AP298" s="2">
        <v>43900.417974537</v>
      </c>
      <c r="AQ298" s="1" t="s">
        <v>80</v>
      </c>
      <c r="AR298" s="1" t="s">
        <v>1576</v>
      </c>
      <c r="AS298" s="1" t="s">
        <v>1577</v>
      </c>
      <c r="AT298" s="2">
        <v>44269.931099537</v>
      </c>
    </row>
    <row r="299" ht="13.5" customHeight="1">
      <c r="A299" s="1">
        <v>2037832.0</v>
      </c>
      <c r="B299" s="1" t="s">
        <v>67</v>
      </c>
      <c r="C299" s="1" t="s">
        <v>68</v>
      </c>
      <c r="D299" s="1" t="s">
        <v>46</v>
      </c>
      <c r="E299" s="1" t="s">
        <v>1578</v>
      </c>
      <c r="F299" s="1"/>
      <c r="G299" s="1" t="s">
        <v>70</v>
      </c>
      <c r="H299" s="1" t="s">
        <v>93</v>
      </c>
      <c r="I299" s="1">
        <v>25351.87</v>
      </c>
      <c r="J299" s="1"/>
      <c r="K299" s="1"/>
      <c r="L299" s="1" t="s">
        <v>1172</v>
      </c>
      <c r="M299" s="1" t="s">
        <v>1579</v>
      </c>
      <c r="N299" s="1" t="s">
        <v>142</v>
      </c>
      <c r="O299" s="1" t="s">
        <v>143</v>
      </c>
      <c r="P299" s="2">
        <v>43811.6666666667</v>
      </c>
      <c r="Q299" s="1" t="s">
        <v>373</v>
      </c>
      <c r="R299" s="3">
        <v>43811.0</v>
      </c>
      <c r="S299" s="1"/>
      <c r="T299" s="1">
        <v>1508084.0</v>
      </c>
      <c r="U299" s="1" t="s">
        <v>1169</v>
      </c>
      <c r="V299" s="1" t="s">
        <v>193</v>
      </c>
      <c r="W299" s="1" t="s">
        <v>177</v>
      </c>
      <c r="X299" s="1"/>
      <c r="Y299" s="1" t="str">
        <f>"02047001397201964"</f>
        <v>02047001397201964</v>
      </c>
      <c r="Z299" s="1" t="s">
        <v>147</v>
      </c>
      <c r="AA299" s="1" t="s">
        <v>1580</v>
      </c>
      <c r="AB299" s="1" t="str">
        <f>"08798543000108"</f>
        <v>08798543000108</v>
      </c>
      <c r="AC299" s="1"/>
      <c r="AD299" s="1"/>
      <c r="AE299" s="1"/>
      <c r="AF299" s="1">
        <v>-51.179169</v>
      </c>
      <c r="AG299" s="1">
        <v>-6.754167</v>
      </c>
      <c r="AH299" s="1" t="s">
        <v>1581</v>
      </c>
      <c r="AI299" s="1"/>
      <c r="AJ299" s="1" t="s">
        <v>1172</v>
      </c>
      <c r="AK299" s="1"/>
      <c r="AL299" s="1" t="s">
        <v>79</v>
      </c>
      <c r="AM299" s="1" t="s">
        <v>65</v>
      </c>
      <c r="AN299" s="1" t="s">
        <v>1173</v>
      </c>
      <c r="AO299" s="2">
        <v>44011.0</v>
      </c>
      <c r="AP299" s="2">
        <v>44011.7249189815</v>
      </c>
      <c r="AQ299" s="1" t="s">
        <v>80</v>
      </c>
      <c r="AR299" s="1" t="s">
        <v>181</v>
      </c>
      <c r="AS299" s="1"/>
      <c r="AT299" s="2">
        <v>44269.931099537</v>
      </c>
    </row>
    <row r="300" ht="13.5" customHeight="1">
      <c r="A300" s="1">
        <v>2043316.0</v>
      </c>
      <c r="B300" s="1" t="s">
        <v>67</v>
      </c>
      <c r="C300" s="1" t="s">
        <v>68</v>
      </c>
      <c r="D300" s="1" t="s">
        <v>46</v>
      </c>
      <c r="E300" s="1" t="s">
        <v>1582</v>
      </c>
      <c r="F300" s="1"/>
      <c r="G300" s="1" t="s">
        <v>70</v>
      </c>
      <c r="H300" s="1" t="s">
        <v>50</v>
      </c>
      <c r="I300" s="1">
        <v>500500.0</v>
      </c>
      <c r="J300" s="1"/>
      <c r="K300" s="1"/>
      <c r="L300" s="1" t="s">
        <v>172</v>
      </c>
      <c r="M300" s="1" t="s">
        <v>1583</v>
      </c>
      <c r="N300" s="1" t="s">
        <v>72</v>
      </c>
      <c r="O300" s="1" t="s">
        <v>213</v>
      </c>
      <c r="P300" s="2">
        <v>43811.6666666667</v>
      </c>
      <c r="Q300" s="1" t="s">
        <v>74</v>
      </c>
      <c r="R300" s="3">
        <v>43941.0</v>
      </c>
      <c r="S300" s="1"/>
      <c r="T300" s="1">
        <v>3302403.0</v>
      </c>
      <c r="U300" s="1" t="s">
        <v>1371</v>
      </c>
      <c r="V300" s="1" t="s">
        <v>287</v>
      </c>
      <c r="W300" s="1" t="s">
        <v>288</v>
      </c>
      <c r="X300" s="1"/>
      <c r="Y300" s="1" t="str">
        <f>"02001035619201979"</f>
        <v>02001035619201979</v>
      </c>
      <c r="Z300" s="1" t="s">
        <v>215</v>
      </c>
      <c r="AA300" s="1" t="s">
        <v>1449</v>
      </c>
      <c r="AB300" s="1" t="str">
        <f>"33000167100750"</f>
        <v>33000167100750</v>
      </c>
      <c r="AC300" s="1"/>
      <c r="AD300" s="1"/>
      <c r="AE300" s="1"/>
      <c r="AF300" s="1">
        <v>-39.91692</v>
      </c>
      <c r="AG300" s="1">
        <v>-22.109446</v>
      </c>
      <c r="AH300" s="1" t="s">
        <v>1584</v>
      </c>
      <c r="AI300" s="1"/>
      <c r="AJ300" s="1" t="s">
        <v>172</v>
      </c>
      <c r="AK300" s="1"/>
      <c r="AL300" s="1" t="s">
        <v>79</v>
      </c>
      <c r="AM300" s="1" t="s">
        <v>65</v>
      </c>
      <c r="AN300" s="1" t="s">
        <v>720</v>
      </c>
      <c r="AO300" s="2">
        <v>44236.0</v>
      </c>
      <c r="AP300" s="2">
        <v>44236.380775463</v>
      </c>
      <c r="AQ300" s="1" t="s">
        <v>80</v>
      </c>
      <c r="AR300" s="1" t="s">
        <v>909</v>
      </c>
      <c r="AS300" s="1" t="s">
        <v>722</v>
      </c>
      <c r="AT300" s="2">
        <v>44269.931099537</v>
      </c>
    </row>
    <row r="301" ht="13.5" customHeight="1">
      <c r="A301" s="1">
        <v>2044275.0</v>
      </c>
      <c r="B301" s="1" t="s">
        <v>67</v>
      </c>
      <c r="C301" s="1" t="s">
        <v>68</v>
      </c>
      <c r="D301" s="1" t="s">
        <v>46</v>
      </c>
      <c r="E301" s="1" t="s">
        <v>1585</v>
      </c>
      <c r="F301" s="1"/>
      <c r="G301" s="1" t="s">
        <v>70</v>
      </c>
      <c r="H301" s="1" t="s">
        <v>50</v>
      </c>
      <c r="I301" s="1">
        <v>1500.0</v>
      </c>
      <c r="J301" s="1"/>
      <c r="K301" s="1"/>
      <c r="L301" s="1" t="s">
        <v>64</v>
      </c>
      <c r="M301" s="1" t="s">
        <v>1586</v>
      </c>
      <c r="N301" s="1" t="s">
        <v>72</v>
      </c>
      <c r="O301" s="1" t="s">
        <v>73</v>
      </c>
      <c r="P301" s="2">
        <v>43811.6666666667</v>
      </c>
      <c r="Q301" s="1" t="s">
        <v>74</v>
      </c>
      <c r="R301" s="3">
        <v>43811.0</v>
      </c>
      <c r="S301" s="1"/>
      <c r="T301" s="1">
        <v>3550308.0</v>
      </c>
      <c r="U301" s="1" t="s">
        <v>607</v>
      </c>
      <c r="V301" s="1" t="s">
        <v>58</v>
      </c>
      <c r="W301" s="1" t="s">
        <v>59</v>
      </c>
      <c r="X301" s="1"/>
      <c r="Y301" s="1" t="str">
        <f>"02027022683201900"</f>
        <v>02027022683201900</v>
      </c>
      <c r="Z301" s="1" t="s">
        <v>76</v>
      </c>
      <c r="AA301" s="1" t="s">
        <v>1587</v>
      </c>
      <c r="AB301" s="1" t="str">
        <f>"***405308**"</f>
        <v>***405308**</v>
      </c>
      <c r="AC301" s="1"/>
      <c r="AD301" s="1"/>
      <c r="AE301" s="1"/>
      <c r="AF301" s="1">
        <v>-46.668611</v>
      </c>
      <c r="AG301" s="1">
        <v>-23.559722</v>
      </c>
      <c r="AH301" s="1" t="s">
        <v>1588</v>
      </c>
      <c r="AI301" s="1"/>
      <c r="AJ301" s="1" t="s">
        <v>64</v>
      </c>
      <c r="AK301" s="1"/>
      <c r="AL301" s="1" t="s">
        <v>79</v>
      </c>
      <c r="AM301" s="1" t="s">
        <v>65</v>
      </c>
      <c r="AN301" s="1"/>
      <c r="AO301" s="2">
        <v>44266.0</v>
      </c>
      <c r="AP301" s="2">
        <v>44266.7562731482</v>
      </c>
      <c r="AQ301" s="1" t="s">
        <v>80</v>
      </c>
      <c r="AR301" s="1" t="s">
        <v>81</v>
      </c>
      <c r="AS301" s="1" t="s">
        <v>1589</v>
      </c>
      <c r="AT301" s="2">
        <v>44269.931099537</v>
      </c>
    </row>
    <row r="302" ht="13.5" customHeight="1">
      <c r="A302" s="1"/>
      <c r="B302" s="1" t="s">
        <v>46</v>
      </c>
      <c r="C302" s="1" t="s">
        <v>47</v>
      </c>
      <c r="D302" s="1"/>
      <c r="E302" s="1" t="s">
        <v>1590</v>
      </c>
      <c r="F302" s="1"/>
      <c r="G302" s="1" t="s">
        <v>49</v>
      </c>
      <c r="H302" s="1" t="s">
        <v>93</v>
      </c>
      <c r="I302" s="1">
        <v>9000.0</v>
      </c>
      <c r="J302" s="1"/>
      <c r="K302" s="1"/>
      <c r="L302" s="1"/>
      <c r="M302" s="1" t="s">
        <v>1591</v>
      </c>
      <c r="N302" s="1" t="s">
        <v>142</v>
      </c>
      <c r="O302" s="1" t="s">
        <v>143</v>
      </c>
      <c r="P302" s="2">
        <v>43811.6518287037</v>
      </c>
      <c r="Q302" s="1" t="s">
        <v>373</v>
      </c>
      <c r="R302" s="1"/>
      <c r="S302" s="1"/>
      <c r="T302" s="1">
        <v>2208007.0</v>
      </c>
      <c r="U302" s="1" t="s">
        <v>894</v>
      </c>
      <c r="V302" s="1" t="s">
        <v>895</v>
      </c>
      <c r="W302" s="1" t="s">
        <v>113</v>
      </c>
      <c r="X302" s="1"/>
      <c r="Y302" s="1"/>
      <c r="Z302" s="1" t="s">
        <v>147</v>
      </c>
      <c r="AA302" s="1" t="s">
        <v>1592</v>
      </c>
      <c r="AB302" s="1" t="str">
        <f>"***143144**"</f>
        <v>***143144**</v>
      </c>
      <c r="AC302" s="1"/>
      <c r="AD302" s="1" t="s">
        <v>149</v>
      </c>
      <c r="AE302" s="1"/>
      <c r="AF302" s="1">
        <v>-41.516666</v>
      </c>
      <c r="AG302" s="1">
        <v>-7.064167</v>
      </c>
      <c r="AH302" s="1" t="s">
        <v>1593</v>
      </c>
      <c r="AI302" s="1"/>
      <c r="AJ302" s="1" t="s">
        <v>898</v>
      </c>
      <c r="AK302" s="1"/>
      <c r="AL302" s="1"/>
      <c r="AM302" s="1" t="s">
        <v>65</v>
      </c>
      <c r="AN302" s="1" t="s">
        <v>152</v>
      </c>
      <c r="AO302" s="1"/>
      <c r="AP302" s="2">
        <v>43811.7249421296</v>
      </c>
      <c r="AQ302" s="1"/>
      <c r="AR302" s="1" t="s">
        <v>280</v>
      </c>
      <c r="AS302" s="1"/>
      <c r="AT302" s="2">
        <v>44269.931099537</v>
      </c>
    </row>
    <row r="303" ht="13.5" customHeight="1">
      <c r="A303" s="1">
        <v>2038493.0</v>
      </c>
      <c r="B303" s="1" t="s">
        <v>67</v>
      </c>
      <c r="C303" s="1" t="s">
        <v>68</v>
      </c>
      <c r="D303" s="1" t="s">
        <v>46</v>
      </c>
      <c r="E303" s="1" t="s">
        <v>1594</v>
      </c>
      <c r="F303" s="1"/>
      <c r="G303" s="1" t="s">
        <v>70</v>
      </c>
      <c r="H303" s="1" t="s">
        <v>93</v>
      </c>
      <c r="I303" s="1">
        <v>1000.0</v>
      </c>
      <c r="J303" s="1"/>
      <c r="K303" s="1"/>
      <c r="L303" s="1" t="s">
        <v>406</v>
      </c>
      <c r="M303" s="1" t="s">
        <v>1595</v>
      </c>
      <c r="N303" s="1" t="s">
        <v>95</v>
      </c>
      <c r="O303" s="1" t="s">
        <v>96</v>
      </c>
      <c r="P303" s="2">
        <v>43811.625</v>
      </c>
      <c r="Q303" s="1" t="s">
        <v>373</v>
      </c>
      <c r="R303" s="3">
        <v>43811.0</v>
      </c>
      <c r="S303" s="1" t="s">
        <v>110</v>
      </c>
      <c r="T303" s="1">
        <v>3204401.0</v>
      </c>
      <c r="U303" s="1" t="s">
        <v>1596</v>
      </c>
      <c r="V303" s="1" t="s">
        <v>403</v>
      </c>
      <c r="W303" s="1" t="s">
        <v>59</v>
      </c>
      <c r="X303" s="1"/>
      <c r="Y303" s="1" t="str">
        <f>"02009001457202039"</f>
        <v>02009001457202039</v>
      </c>
      <c r="Z303" s="1" t="s">
        <v>98</v>
      </c>
      <c r="AA303" s="1" t="s">
        <v>1597</v>
      </c>
      <c r="AB303" s="1" t="str">
        <f>"***451477**"</f>
        <v>***451477**</v>
      </c>
      <c r="AC303" s="1"/>
      <c r="AD303" s="1"/>
      <c r="AE303" s="1"/>
      <c r="AF303" s="1">
        <v>-41.113331</v>
      </c>
      <c r="AG303" s="1">
        <v>-20.846111</v>
      </c>
      <c r="AH303" s="1" t="s">
        <v>1598</v>
      </c>
      <c r="AI303" s="1"/>
      <c r="AJ303" s="1" t="s">
        <v>406</v>
      </c>
      <c r="AK303" s="1"/>
      <c r="AL303" s="1" t="s">
        <v>79</v>
      </c>
      <c r="AM303" s="1" t="s">
        <v>65</v>
      </c>
      <c r="AN303" s="1" t="s">
        <v>1599</v>
      </c>
      <c r="AO303" s="2">
        <v>44036.0</v>
      </c>
      <c r="AP303" s="2">
        <v>44036.4158680556</v>
      </c>
      <c r="AQ303" s="1" t="s">
        <v>80</v>
      </c>
      <c r="AR303" s="1" t="s">
        <v>475</v>
      </c>
      <c r="AS303" s="1"/>
      <c r="AT303" s="2">
        <v>44269.931099537</v>
      </c>
    </row>
    <row r="304" ht="13.5" customHeight="1">
      <c r="A304" s="1">
        <v>2040047.0</v>
      </c>
      <c r="B304" s="1" t="s">
        <v>67</v>
      </c>
      <c r="C304" s="1" t="s">
        <v>68</v>
      </c>
      <c r="D304" s="1" t="s">
        <v>46</v>
      </c>
      <c r="E304" s="1" t="s">
        <v>1600</v>
      </c>
      <c r="F304" s="1"/>
      <c r="G304" s="1" t="s">
        <v>70</v>
      </c>
      <c r="H304" s="1" t="s">
        <v>50</v>
      </c>
      <c r="I304" s="1">
        <v>100000.0</v>
      </c>
      <c r="J304" s="1"/>
      <c r="K304" s="1"/>
      <c r="L304" s="1" t="s">
        <v>172</v>
      </c>
      <c r="M304" s="1" t="s">
        <v>1601</v>
      </c>
      <c r="N304" s="1" t="s">
        <v>283</v>
      </c>
      <c r="O304" s="1" t="s">
        <v>1133</v>
      </c>
      <c r="P304" s="2">
        <v>43811.625</v>
      </c>
      <c r="Q304" s="1" t="s">
        <v>74</v>
      </c>
      <c r="R304" s="1"/>
      <c r="S304" s="1"/>
      <c r="T304" s="1">
        <v>3302403.0</v>
      </c>
      <c r="U304" s="1" t="s">
        <v>1371</v>
      </c>
      <c r="V304" s="1" t="s">
        <v>287</v>
      </c>
      <c r="W304" s="1" t="s">
        <v>288</v>
      </c>
      <c r="X304" s="1"/>
      <c r="Y304" s="1" t="str">
        <f>"02001035790201988"</f>
        <v>02001035790201988</v>
      </c>
      <c r="Z304" s="1" t="s">
        <v>128</v>
      </c>
      <c r="AA304" s="1" t="s">
        <v>1449</v>
      </c>
      <c r="AB304" s="1" t="str">
        <f>"33000167100750"</f>
        <v>33000167100750</v>
      </c>
      <c r="AC304" s="1"/>
      <c r="AD304" s="1"/>
      <c r="AE304" s="1"/>
      <c r="AF304" s="1">
        <v>-40.47028</v>
      </c>
      <c r="AG304" s="1">
        <v>-22.464724</v>
      </c>
      <c r="AH304" s="1" t="s">
        <v>1527</v>
      </c>
      <c r="AI304" s="1"/>
      <c r="AJ304" s="1" t="s">
        <v>172</v>
      </c>
      <c r="AK304" s="1"/>
      <c r="AL304" s="1" t="s">
        <v>79</v>
      </c>
      <c r="AM304" s="1" t="s">
        <v>65</v>
      </c>
      <c r="AN304" s="1" t="s">
        <v>720</v>
      </c>
      <c r="AO304" s="2">
        <v>44084.0</v>
      </c>
      <c r="AP304" s="2">
        <v>44084.6811458333</v>
      </c>
      <c r="AQ304" s="1" t="s">
        <v>80</v>
      </c>
      <c r="AR304" s="1" t="s">
        <v>1485</v>
      </c>
      <c r="AS304" s="1" t="s">
        <v>1361</v>
      </c>
      <c r="AT304" s="2">
        <v>44269.931099537</v>
      </c>
    </row>
    <row r="305" ht="13.5" customHeight="1">
      <c r="A305" s="1">
        <v>2043749.0</v>
      </c>
      <c r="B305" s="1" t="s">
        <v>67</v>
      </c>
      <c r="C305" s="1" t="s">
        <v>68</v>
      </c>
      <c r="D305" s="1" t="s">
        <v>46</v>
      </c>
      <c r="E305" s="1" t="s">
        <v>1602</v>
      </c>
      <c r="F305" s="1"/>
      <c r="G305" s="1" t="s">
        <v>70</v>
      </c>
      <c r="H305" s="1" t="s">
        <v>50</v>
      </c>
      <c r="I305" s="1">
        <v>20000.0</v>
      </c>
      <c r="J305" s="1"/>
      <c r="K305" s="1"/>
      <c r="L305" s="1" t="s">
        <v>628</v>
      </c>
      <c r="M305" s="1" t="s">
        <v>1603</v>
      </c>
      <c r="N305" s="1" t="s">
        <v>142</v>
      </c>
      <c r="O305" s="1" t="s">
        <v>143</v>
      </c>
      <c r="P305" s="2">
        <v>43811.625</v>
      </c>
      <c r="Q305" s="1" t="s">
        <v>55</v>
      </c>
      <c r="R305" s="1"/>
      <c r="S305" s="1"/>
      <c r="T305" s="1">
        <v>2905800.0</v>
      </c>
      <c r="U305" s="1" t="s">
        <v>1604</v>
      </c>
      <c r="V305" s="1" t="s">
        <v>632</v>
      </c>
      <c r="W305" s="1" t="s">
        <v>288</v>
      </c>
      <c r="X305" s="1"/>
      <c r="Y305" s="1" t="str">
        <f>"02006000487202139"</f>
        <v>02006000487202139</v>
      </c>
      <c r="Z305" s="1" t="s">
        <v>147</v>
      </c>
      <c r="AA305" s="1" t="s">
        <v>1605</v>
      </c>
      <c r="AB305" s="1" t="str">
        <f>"***597035**"</f>
        <v>***597035**</v>
      </c>
      <c r="AC305" s="1"/>
      <c r="AD305" s="1"/>
      <c r="AE305" s="1"/>
      <c r="AF305" s="1">
        <v>-39.025833</v>
      </c>
      <c r="AG305" s="1">
        <v>-13.961111</v>
      </c>
      <c r="AH305" s="1" t="s">
        <v>1606</v>
      </c>
      <c r="AI305" s="1"/>
      <c r="AJ305" s="1" t="s">
        <v>628</v>
      </c>
      <c r="AK305" s="1"/>
      <c r="AL305" s="1" t="s">
        <v>79</v>
      </c>
      <c r="AM305" s="1" t="s">
        <v>65</v>
      </c>
      <c r="AN305" s="1" t="s">
        <v>152</v>
      </c>
      <c r="AO305" s="2">
        <v>44251.0</v>
      </c>
      <c r="AP305" s="2">
        <v>44251.4452430556</v>
      </c>
      <c r="AQ305" s="1" t="s">
        <v>80</v>
      </c>
      <c r="AR305" s="1" t="s">
        <v>1607</v>
      </c>
      <c r="AS305" s="1"/>
      <c r="AT305" s="2">
        <v>44269.931099537</v>
      </c>
    </row>
    <row r="306" ht="13.5" customHeight="1">
      <c r="A306" s="1"/>
      <c r="B306" s="1" t="s">
        <v>46</v>
      </c>
      <c r="C306" s="1" t="s">
        <v>47</v>
      </c>
      <c r="D306" s="1"/>
      <c r="E306" s="1" t="s">
        <v>1608</v>
      </c>
      <c r="F306" s="1"/>
      <c r="G306" s="1" t="s">
        <v>49</v>
      </c>
      <c r="H306" s="1" t="s">
        <v>93</v>
      </c>
      <c r="I306" s="1">
        <v>62013.54</v>
      </c>
      <c r="J306" s="1"/>
      <c r="K306" s="1"/>
      <c r="L306" s="1"/>
      <c r="M306" s="1" t="s">
        <v>1609</v>
      </c>
      <c r="N306" s="1" t="s">
        <v>142</v>
      </c>
      <c r="O306" s="1" t="s">
        <v>143</v>
      </c>
      <c r="P306" s="2">
        <v>43811.6073726852</v>
      </c>
      <c r="Q306" s="1" t="s">
        <v>373</v>
      </c>
      <c r="R306" s="1"/>
      <c r="S306" s="1"/>
      <c r="T306" s="1">
        <v>1508084.0</v>
      </c>
      <c r="U306" s="1" t="s">
        <v>1169</v>
      </c>
      <c r="V306" s="1" t="s">
        <v>193</v>
      </c>
      <c r="W306" s="1" t="s">
        <v>177</v>
      </c>
      <c r="X306" s="1"/>
      <c r="Y306" s="1"/>
      <c r="Z306" s="1" t="s">
        <v>147</v>
      </c>
      <c r="AA306" s="1" t="s">
        <v>1610</v>
      </c>
      <c r="AB306" s="1" t="str">
        <f>"***883396**"</f>
        <v>***883396**</v>
      </c>
      <c r="AC306" s="1"/>
      <c r="AD306" s="1" t="s">
        <v>62</v>
      </c>
      <c r="AE306" s="1"/>
      <c r="AF306" s="1">
        <v>-51.154167</v>
      </c>
      <c r="AG306" s="1">
        <v>-6.740834</v>
      </c>
      <c r="AH306" s="1" t="s">
        <v>1611</v>
      </c>
      <c r="AI306" s="1"/>
      <c r="AJ306" s="1" t="s">
        <v>1172</v>
      </c>
      <c r="AK306" s="1"/>
      <c r="AL306" s="1"/>
      <c r="AM306" s="1" t="s">
        <v>65</v>
      </c>
      <c r="AN306" s="1" t="s">
        <v>1173</v>
      </c>
      <c r="AO306" s="1"/>
      <c r="AP306" s="2">
        <v>44088.4796759259</v>
      </c>
      <c r="AQ306" s="1"/>
      <c r="AR306" s="1" t="s">
        <v>280</v>
      </c>
      <c r="AS306" s="1" t="s">
        <v>1174</v>
      </c>
      <c r="AT306" s="2">
        <v>44269.931099537</v>
      </c>
    </row>
    <row r="307" ht="13.5" customHeight="1">
      <c r="A307" s="1"/>
      <c r="B307" s="1" t="s">
        <v>46</v>
      </c>
      <c r="C307" s="1" t="s">
        <v>47</v>
      </c>
      <c r="D307" s="1"/>
      <c r="E307" s="1" t="s">
        <v>1612</v>
      </c>
      <c r="F307" s="1"/>
      <c r="G307" s="1" t="s">
        <v>49</v>
      </c>
      <c r="H307" s="1" t="s">
        <v>50</v>
      </c>
      <c r="I307" s="1">
        <v>100000.0</v>
      </c>
      <c r="J307" s="1"/>
      <c r="K307" s="1" t="s">
        <v>51</v>
      </c>
      <c r="L307" s="1"/>
      <c r="M307" s="1" t="s">
        <v>1613</v>
      </c>
      <c r="N307" s="1" t="s">
        <v>283</v>
      </c>
      <c r="O307" s="1" t="s">
        <v>1133</v>
      </c>
      <c r="P307" s="2">
        <v>43811.6023726852</v>
      </c>
      <c r="Q307" s="1" t="s">
        <v>74</v>
      </c>
      <c r="R307" s="1"/>
      <c r="S307" s="1"/>
      <c r="T307" s="1">
        <v>3302403.0</v>
      </c>
      <c r="U307" s="1" t="s">
        <v>1371</v>
      </c>
      <c r="V307" s="1" t="s">
        <v>287</v>
      </c>
      <c r="W307" s="1" t="s">
        <v>288</v>
      </c>
      <c r="X307" s="1"/>
      <c r="Y307" s="1"/>
      <c r="Z307" s="1" t="s">
        <v>128</v>
      </c>
      <c r="AA307" s="1" t="s">
        <v>1449</v>
      </c>
      <c r="AB307" s="1" t="str">
        <f>"33000167100750"</f>
        <v>33000167100750</v>
      </c>
      <c r="AC307" s="1"/>
      <c r="AD307" s="1" t="s">
        <v>149</v>
      </c>
      <c r="AE307" s="1"/>
      <c r="AF307" s="1">
        <v>-40.069721</v>
      </c>
      <c r="AG307" s="1">
        <v>-22.435555</v>
      </c>
      <c r="AH307" s="1" t="s">
        <v>1450</v>
      </c>
      <c r="AI307" s="1"/>
      <c r="AJ307" s="1" t="s">
        <v>172</v>
      </c>
      <c r="AK307" s="1"/>
      <c r="AL307" s="1"/>
      <c r="AM307" s="1" t="s">
        <v>65</v>
      </c>
      <c r="AN307" s="1" t="s">
        <v>720</v>
      </c>
      <c r="AO307" s="1"/>
      <c r="AP307" s="2">
        <v>44013.7168287037</v>
      </c>
      <c r="AQ307" s="1"/>
      <c r="AR307" s="1" t="s">
        <v>1360</v>
      </c>
      <c r="AS307" s="1" t="s">
        <v>1361</v>
      </c>
      <c r="AT307" s="2">
        <v>44269.931099537</v>
      </c>
    </row>
    <row r="308" ht="13.5" customHeight="1">
      <c r="A308" s="1"/>
      <c r="B308" s="1" t="s">
        <v>46</v>
      </c>
      <c r="C308" s="1" t="s">
        <v>47</v>
      </c>
      <c r="D308" s="1"/>
      <c r="E308" s="1" t="s">
        <v>1614</v>
      </c>
      <c r="F308" s="1"/>
      <c r="G308" s="1" t="s">
        <v>49</v>
      </c>
      <c r="H308" s="1" t="s">
        <v>93</v>
      </c>
      <c r="I308" s="1">
        <v>500.0</v>
      </c>
      <c r="J308" s="1"/>
      <c r="K308" s="1" t="s">
        <v>51</v>
      </c>
      <c r="L308" s="1"/>
      <c r="M308" s="1" t="s">
        <v>1615</v>
      </c>
      <c r="N308" s="1" t="s">
        <v>212</v>
      </c>
      <c r="O308" s="1" t="s">
        <v>213</v>
      </c>
      <c r="P308" s="2">
        <v>43811.5942708333</v>
      </c>
      <c r="Q308" s="1" t="s">
        <v>373</v>
      </c>
      <c r="R308" s="1"/>
      <c r="S308" s="1"/>
      <c r="T308" s="1">
        <v>2601102.0</v>
      </c>
      <c r="U308" s="1" t="s">
        <v>1276</v>
      </c>
      <c r="V308" s="1" t="s">
        <v>1037</v>
      </c>
      <c r="W308" s="1" t="s">
        <v>113</v>
      </c>
      <c r="X308" s="1"/>
      <c r="Y308" s="1"/>
      <c r="Z308" s="1" t="s">
        <v>215</v>
      </c>
      <c r="AA308" s="1" t="s">
        <v>1616</v>
      </c>
      <c r="AB308" s="1" t="str">
        <f>"***303384**"</f>
        <v>***303384**</v>
      </c>
      <c r="AC308" s="1"/>
      <c r="AD308" s="1" t="s">
        <v>149</v>
      </c>
      <c r="AE308" s="1"/>
      <c r="AF308" s="1">
        <v>-40.536388</v>
      </c>
      <c r="AG308" s="1">
        <v>-7.688889</v>
      </c>
      <c r="AH308" s="1" t="s">
        <v>1617</v>
      </c>
      <c r="AI308" s="1"/>
      <c r="AJ308" s="1" t="s">
        <v>1040</v>
      </c>
      <c r="AK308" s="1"/>
      <c r="AL308" s="1"/>
      <c r="AM308" s="1" t="s">
        <v>65</v>
      </c>
      <c r="AN308" s="1" t="s">
        <v>1279</v>
      </c>
      <c r="AO308" s="1"/>
      <c r="AP308" s="2">
        <v>43811.6006597222</v>
      </c>
      <c r="AQ308" s="1"/>
      <c r="AR308" s="1" t="s">
        <v>1280</v>
      </c>
      <c r="AS308" s="1"/>
      <c r="AT308" s="2">
        <v>44269.931099537</v>
      </c>
    </row>
    <row r="309" ht="13.5" customHeight="1">
      <c r="A309" s="1"/>
      <c r="B309" s="1" t="s">
        <v>46</v>
      </c>
      <c r="C309" s="1" t="s">
        <v>47</v>
      </c>
      <c r="D309" s="1"/>
      <c r="E309" s="1" t="s">
        <v>1618</v>
      </c>
      <c r="F309" s="1"/>
      <c r="G309" s="1" t="s">
        <v>49</v>
      </c>
      <c r="H309" s="1" t="s">
        <v>50</v>
      </c>
      <c r="I309" s="1">
        <v>100000.0</v>
      </c>
      <c r="J309" s="1"/>
      <c r="K309" s="1" t="s">
        <v>51</v>
      </c>
      <c r="L309" s="1"/>
      <c r="M309" s="1" t="s">
        <v>1619</v>
      </c>
      <c r="N309" s="1" t="s">
        <v>283</v>
      </c>
      <c r="O309" s="1" t="s">
        <v>1133</v>
      </c>
      <c r="P309" s="2">
        <v>43811.5900462963</v>
      </c>
      <c r="Q309" s="1" t="s">
        <v>74</v>
      </c>
      <c r="R309" s="1"/>
      <c r="S309" s="1"/>
      <c r="T309" s="1">
        <v>3302403.0</v>
      </c>
      <c r="U309" s="1" t="s">
        <v>1371</v>
      </c>
      <c r="V309" s="1" t="s">
        <v>287</v>
      </c>
      <c r="W309" s="1" t="s">
        <v>288</v>
      </c>
      <c r="X309" s="1"/>
      <c r="Y309" s="1"/>
      <c r="Z309" s="1" t="s">
        <v>128</v>
      </c>
      <c r="AA309" s="1" t="s">
        <v>1449</v>
      </c>
      <c r="AB309" s="1" t="str">
        <f>"33000167100750"</f>
        <v>33000167100750</v>
      </c>
      <c r="AC309" s="1"/>
      <c r="AD309" s="1" t="s">
        <v>149</v>
      </c>
      <c r="AE309" s="1"/>
      <c r="AF309" s="1">
        <v>-40.762501</v>
      </c>
      <c r="AG309" s="1">
        <v>-22.797777</v>
      </c>
      <c r="AH309" s="1" t="s">
        <v>1620</v>
      </c>
      <c r="AI309" s="1"/>
      <c r="AJ309" s="1" t="s">
        <v>172</v>
      </c>
      <c r="AK309" s="1"/>
      <c r="AL309" s="1"/>
      <c r="AM309" s="1" t="s">
        <v>65</v>
      </c>
      <c r="AN309" s="1" t="s">
        <v>720</v>
      </c>
      <c r="AO309" s="1"/>
      <c r="AP309" s="2">
        <v>44013.7169212963</v>
      </c>
      <c r="AQ309" s="1"/>
      <c r="AR309" s="1" t="s">
        <v>1360</v>
      </c>
      <c r="AS309" s="1" t="s">
        <v>1361</v>
      </c>
      <c r="AT309" s="2">
        <v>44269.931099537</v>
      </c>
    </row>
    <row r="310" ht="13.5" customHeight="1">
      <c r="A310" s="1">
        <v>2043447.0</v>
      </c>
      <c r="B310" s="1" t="s">
        <v>67</v>
      </c>
      <c r="C310" s="1" t="s">
        <v>68</v>
      </c>
      <c r="D310" s="1" t="s">
        <v>46</v>
      </c>
      <c r="E310" s="1" t="s">
        <v>1621</v>
      </c>
      <c r="F310" s="1"/>
      <c r="G310" s="1" t="s">
        <v>70</v>
      </c>
      <c r="H310" s="1" t="s">
        <v>93</v>
      </c>
      <c r="I310" s="1">
        <v>150000.0</v>
      </c>
      <c r="J310" s="1"/>
      <c r="K310" s="1"/>
      <c r="L310" s="1" t="s">
        <v>358</v>
      </c>
      <c r="M310" s="1" t="s">
        <v>1622</v>
      </c>
      <c r="N310" s="1" t="s">
        <v>72</v>
      </c>
      <c r="O310" s="1" t="s">
        <v>73</v>
      </c>
      <c r="P310" s="2">
        <v>43811.5833333333</v>
      </c>
      <c r="Q310" s="1" t="s">
        <v>74</v>
      </c>
      <c r="R310" s="3">
        <v>43811.0</v>
      </c>
      <c r="S310" s="1" t="s">
        <v>174</v>
      </c>
      <c r="T310" s="1">
        <v>4106902.0</v>
      </c>
      <c r="U310" s="1" t="s">
        <v>355</v>
      </c>
      <c r="V310" s="1" t="s">
        <v>176</v>
      </c>
      <c r="W310" s="1" t="s">
        <v>59</v>
      </c>
      <c r="X310" s="1"/>
      <c r="Y310" s="1" t="str">
        <f>"02017004633201951"</f>
        <v>02017004633201951</v>
      </c>
      <c r="Z310" s="1" t="s">
        <v>76</v>
      </c>
      <c r="AA310" s="1" t="s">
        <v>1623</v>
      </c>
      <c r="AB310" s="1" t="str">
        <f>"03593123000171"</f>
        <v>03593123000171</v>
      </c>
      <c r="AC310" s="1"/>
      <c r="AD310" s="1"/>
      <c r="AE310" s="1"/>
      <c r="AF310" s="1">
        <v>-49.22028</v>
      </c>
      <c r="AG310" s="1">
        <v>-25.575834</v>
      </c>
      <c r="AH310" s="1" t="s">
        <v>1624</v>
      </c>
      <c r="AI310" s="1"/>
      <c r="AJ310" s="1" t="s">
        <v>358</v>
      </c>
      <c r="AK310" s="1"/>
      <c r="AL310" s="1" t="s">
        <v>79</v>
      </c>
      <c r="AM310" s="1" t="s">
        <v>65</v>
      </c>
      <c r="AN310" s="1" t="s">
        <v>359</v>
      </c>
      <c r="AO310" s="2">
        <v>44238.0</v>
      </c>
      <c r="AP310" s="2">
        <v>44238.7724537037</v>
      </c>
      <c r="AQ310" s="1" t="s">
        <v>80</v>
      </c>
      <c r="AR310" s="1" t="s">
        <v>81</v>
      </c>
      <c r="AS310" s="1"/>
      <c r="AT310" s="2">
        <v>44269.931099537</v>
      </c>
    </row>
    <row r="311" ht="13.5" customHeight="1">
      <c r="A311" s="1"/>
      <c r="B311" s="1" t="s">
        <v>46</v>
      </c>
      <c r="C311" s="1" t="s">
        <v>47</v>
      </c>
      <c r="D311" s="1"/>
      <c r="E311" s="1" t="s">
        <v>1625</v>
      </c>
      <c r="F311" s="1"/>
      <c r="G311" s="1" t="s">
        <v>49</v>
      </c>
      <c r="H311" s="1" t="s">
        <v>93</v>
      </c>
      <c r="I311" s="1">
        <v>1212.0</v>
      </c>
      <c r="J311" s="1"/>
      <c r="K311" s="1" t="s">
        <v>51</v>
      </c>
      <c r="L311" s="1"/>
      <c r="M311" s="1" t="s">
        <v>1626</v>
      </c>
      <c r="N311" s="1" t="s">
        <v>53</v>
      </c>
      <c r="O311" s="1" t="s">
        <v>54</v>
      </c>
      <c r="P311" s="2">
        <v>43811.5738888889</v>
      </c>
      <c r="Q311" s="1" t="s">
        <v>373</v>
      </c>
      <c r="R311" s="1"/>
      <c r="S311" s="1"/>
      <c r="T311" s="1">
        <v>1505106.0</v>
      </c>
      <c r="U311" s="1" t="s">
        <v>762</v>
      </c>
      <c r="V311" s="1" t="s">
        <v>193</v>
      </c>
      <c r="W311" s="1" t="s">
        <v>177</v>
      </c>
      <c r="X311" s="1"/>
      <c r="Y311" s="1"/>
      <c r="Z311" s="1" t="s">
        <v>60</v>
      </c>
      <c r="AA311" s="1" t="s">
        <v>1627</v>
      </c>
      <c r="AB311" s="1" t="str">
        <f>"***917092**"</f>
        <v>***917092**</v>
      </c>
      <c r="AC311" s="1"/>
      <c r="AD311" s="1" t="s">
        <v>149</v>
      </c>
      <c r="AE311" s="1"/>
      <c r="AF311" s="1">
        <v>-55.513611</v>
      </c>
      <c r="AG311" s="1">
        <v>-1.919445</v>
      </c>
      <c r="AH311" s="1" t="s">
        <v>1628</v>
      </c>
      <c r="AI311" s="1"/>
      <c r="AJ311" s="1" t="s">
        <v>765</v>
      </c>
      <c r="AK311" s="1"/>
      <c r="AL311" s="1"/>
      <c r="AM311" s="1" t="s">
        <v>65</v>
      </c>
      <c r="AN311" s="1" t="s">
        <v>766</v>
      </c>
      <c r="AO311" s="1"/>
      <c r="AP311" s="2">
        <v>43811.5877430556</v>
      </c>
      <c r="AQ311" s="1"/>
      <c r="AR311" s="1" t="s">
        <v>1096</v>
      </c>
      <c r="AS311" s="1"/>
      <c r="AT311" s="2">
        <v>44269.931099537</v>
      </c>
    </row>
    <row r="312" ht="13.5" customHeight="1">
      <c r="A312" s="1"/>
      <c r="B312" s="1" t="s">
        <v>46</v>
      </c>
      <c r="C312" s="1" t="s">
        <v>47</v>
      </c>
      <c r="D312" s="1"/>
      <c r="E312" s="1" t="s">
        <v>1629</v>
      </c>
      <c r="F312" s="1"/>
      <c r="G312" s="1" t="s">
        <v>49</v>
      </c>
      <c r="H312" s="1" t="s">
        <v>50</v>
      </c>
      <c r="I312" s="1">
        <v>110500.0</v>
      </c>
      <c r="J312" s="1"/>
      <c r="K312" s="1" t="s">
        <v>140</v>
      </c>
      <c r="L312" s="1"/>
      <c r="M312" s="1" t="s">
        <v>1630</v>
      </c>
      <c r="N312" s="1" t="s">
        <v>212</v>
      </c>
      <c r="O312" s="1" t="s">
        <v>213</v>
      </c>
      <c r="P312" s="2">
        <v>43811.5507638889</v>
      </c>
      <c r="Q312" s="1" t="s">
        <v>373</v>
      </c>
      <c r="R312" s="1"/>
      <c r="S312" s="1"/>
      <c r="T312" s="1">
        <v>1508084.0</v>
      </c>
      <c r="U312" s="1" t="s">
        <v>1169</v>
      </c>
      <c r="V312" s="1" t="s">
        <v>193</v>
      </c>
      <c r="W312" s="1" t="s">
        <v>177</v>
      </c>
      <c r="X312" s="1"/>
      <c r="Y312" s="1"/>
      <c r="Z312" s="1" t="s">
        <v>215</v>
      </c>
      <c r="AA312" s="1" t="s">
        <v>1610</v>
      </c>
      <c r="AB312" s="1" t="str">
        <f>"***883396**"</f>
        <v>***883396**</v>
      </c>
      <c r="AC312" s="1"/>
      <c r="AD312" s="1" t="s">
        <v>62</v>
      </c>
      <c r="AE312" s="1"/>
      <c r="AF312" s="1">
        <v>-51.154167</v>
      </c>
      <c r="AG312" s="1">
        <v>-6.740834</v>
      </c>
      <c r="AH312" s="1" t="s">
        <v>1611</v>
      </c>
      <c r="AI312" s="1"/>
      <c r="AJ312" s="1" t="s">
        <v>1172</v>
      </c>
      <c r="AK312" s="1"/>
      <c r="AL312" s="1"/>
      <c r="AM312" s="1" t="s">
        <v>65</v>
      </c>
      <c r="AN312" s="1" t="s">
        <v>1173</v>
      </c>
      <c r="AO312" s="1"/>
      <c r="AP312" s="2">
        <v>44088.4798263889</v>
      </c>
      <c r="AQ312" s="1"/>
      <c r="AR312" s="1" t="s">
        <v>1631</v>
      </c>
      <c r="AS312" s="1"/>
      <c r="AT312" s="2">
        <v>44269.931099537</v>
      </c>
    </row>
    <row r="313" ht="13.5" customHeight="1">
      <c r="A313" s="1">
        <v>2040014.0</v>
      </c>
      <c r="B313" s="1" t="s">
        <v>67</v>
      </c>
      <c r="C313" s="1" t="s">
        <v>68</v>
      </c>
      <c r="D313" s="1" t="s">
        <v>46</v>
      </c>
      <c r="E313" s="1" t="s">
        <v>1632</v>
      </c>
      <c r="F313" s="1"/>
      <c r="G313" s="1" t="s">
        <v>70</v>
      </c>
      <c r="H313" s="1" t="s">
        <v>50</v>
      </c>
      <c r="I313" s="1">
        <v>100000.0</v>
      </c>
      <c r="J313" s="1"/>
      <c r="K313" s="1"/>
      <c r="L313" s="1" t="s">
        <v>172</v>
      </c>
      <c r="M313" s="1" t="s">
        <v>1633</v>
      </c>
      <c r="N313" s="1" t="s">
        <v>283</v>
      </c>
      <c r="O313" s="1" t="s">
        <v>1133</v>
      </c>
      <c r="P313" s="2">
        <v>43811.5416666667</v>
      </c>
      <c r="Q313" s="1" t="s">
        <v>74</v>
      </c>
      <c r="R313" s="1"/>
      <c r="S313" s="1"/>
      <c r="T313" s="1">
        <v>3302403.0</v>
      </c>
      <c r="U313" s="1" t="s">
        <v>1371</v>
      </c>
      <c r="V313" s="1" t="s">
        <v>287</v>
      </c>
      <c r="W313" s="1" t="s">
        <v>288</v>
      </c>
      <c r="X313" s="1"/>
      <c r="Y313" s="1" t="str">
        <f>"02001035780201942"</f>
        <v>02001035780201942</v>
      </c>
      <c r="Z313" s="1" t="s">
        <v>128</v>
      </c>
      <c r="AA313" s="1" t="s">
        <v>1449</v>
      </c>
      <c r="AB313" s="1" t="str">
        <f>"33000167100750"</f>
        <v>33000167100750</v>
      </c>
      <c r="AC313" s="1"/>
      <c r="AD313" s="1"/>
      <c r="AE313" s="1"/>
      <c r="AF313" s="1">
        <v>-40.069721</v>
      </c>
      <c r="AG313" s="1">
        <v>-22.435555</v>
      </c>
      <c r="AH313" s="1" t="s">
        <v>1450</v>
      </c>
      <c r="AI313" s="1"/>
      <c r="AJ313" s="1" t="s">
        <v>172</v>
      </c>
      <c r="AK313" s="1"/>
      <c r="AL313" s="1" t="s">
        <v>79</v>
      </c>
      <c r="AM313" s="1" t="s">
        <v>65</v>
      </c>
      <c r="AN313" s="1" t="s">
        <v>720</v>
      </c>
      <c r="AO313" s="2">
        <v>44083.0</v>
      </c>
      <c r="AP313" s="2">
        <v>44083.7359837963</v>
      </c>
      <c r="AQ313" s="1" t="s">
        <v>80</v>
      </c>
      <c r="AR313" s="1" t="s">
        <v>1485</v>
      </c>
      <c r="AS313" s="1" t="s">
        <v>1361</v>
      </c>
      <c r="AT313" s="2">
        <v>44269.931099537</v>
      </c>
    </row>
    <row r="314" ht="13.5" customHeight="1">
      <c r="A314" s="1">
        <v>2035474.0</v>
      </c>
      <c r="B314" s="1" t="s">
        <v>67</v>
      </c>
      <c r="C314" s="1" t="s">
        <v>68</v>
      </c>
      <c r="D314" s="1" t="s">
        <v>46</v>
      </c>
      <c r="E314" s="1" t="s">
        <v>1634</v>
      </c>
      <c r="F314" s="1"/>
      <c r="G314" s="1" t="s">
        <v>70</v>
      </c>
      <c r="H314" s="1" t="s">
        <v>93</v>
      </c>
      <c r="I314" s="1">
        <v>8000.0</v>
      </c>
      <c r="J314" s="1"/>
      <c r="K314" s="1"/>
      <c r="L314" s="1" t="s">
        <v>106</v>
      </c>
      <c r="M314" s="1" t="s">
        <v>1635</v>
      </c>
      <c r="N314" s="1" t="s">
        <v>95</v>
      </c>
      <c r="O314" s="1"/>
      <c r="P314" s="2">
        <v>43811.5298611111</v>
      </c>
      <c r="Q314" s="1" t="s">
        <v>373</v>
      </c>
      <c r="R314" s="1"/>
      <c r="S314" s="1"/>
      <c r="T314" s="1">
        <v>2202604.0</v>
      </c>
      <c r="U314" s="1" t="s">
        <v>1636</v>
      </c>
      <c r="V314" s="1" t="s">
        <v>895</v>
      </c>
      <c r="W314" s="1" t="s">
        <v>113</v>
      </c>
      <c r="X314" s="1"/>
      <c r="Y314" s="1" t="str">
        <f>"02007000087202032"</f>
        <v>02007000087202032</v>
      </c>
      <c r="Z314" s="1" t="s">
        <v>1267</v>
      </c>
      <c r="AA314" s="1" t="s">
        <v>1637</v>
      </c>
      <c r="AB314" s="1" t="str">
        <f>"***218853**"</f>
        <v>***218853**</v>
      </c>
      <c r="AC314" s="1"/>
      <c r="AD314" s="1" t="s">
        <v>116</v>
      </c>
      <c r="AE314" s="1"/>
      <c r="AF314" s="1">
        <v>0.0</v>
      </c>
      <c r="AG314" s="1">
        <v>0.0</v>
      </c>
      <c r="AH314" s="1" t="s">
        <v>1269</v>
      </c>
      <c r="AI314" s="1"/>
      <c r="AJ314" s="1"/>
      <c r="AK314" s="1"/>
      <c r="AL314" s="1" t="s">
        <v>118</v>
      </c>
      <c r="AM314" s="1"/>
      <c r="AN314" s="1"/>
      <c r="AO314" s="2">
        <v>43906.4434375</v>
      </c>
      <c r="AP314" s="2">
        <v>43906.4434375</v>
      </c>
      <c r="AQ314" s="1" t="s">
        <v>80</v>
      </c>
      <c r="AR314" s="1" t="s">
        <v>1270</v>
      </c>
      <c r="AS314" s="1"/>
      <c r="AT314" s="2">
        <v>44269.931099537</v>
      </c>
    </row>
    <row r="315" ht="13.5" customHeight="1">
      <c r="A315" s="1"/>
      <c r="B315" s="1" t="s">
        <v>46</v>
      </c>
      <c r="C315" s="1" t="s">
        <v>47</v>
      </c>
      <c r="D315" s="1"/>
      <c r="E315" s="1" t="s">
        <v>1638</v>
      </c>
      <c r="F315" s="1"/>
      <c r="G315" s="1" t="s">
        <v>49</v>
      </c>
      <c r="H315" s="1" t="s">
        <v>50</v>
      </c>
      <c r="I315" s="1">
        <v>10000.0</v>
      </c>
      <c r="J315" s="1"/>
      <c r="K315" s="1" t="s">
        <v>51</v>
      </c>
      <c r="L315" s="1"/>
      <c r="M315" s="1" t="s">
        <v>1639</v>
      </c>
      <c r="N315" s="1" t="s">
        <v>283</v>
      </c>
      <c r="O315" s="1" t="s">
        <v>1133</v>
      </c>
      <c r="P315" s="2">
        <v>43811.5262037037</v>
      </c>
      <c r="Q315" s="1" t="s">
        <v>373</v>
      </c>
      <c r="R315" s="1"/>
      <c r="S315" s="1"/>
      <c r="T315" s="1">
        <v>4300406.0</v>
      </c>
      <c r="U315" s="1" t="s">
        <v>1640</v>
      </c>
      <c r="V315" s="1" t="s">
        <v>145</v>
      </c>
      <c r="W315" s="1" t="s">
        <v>146</v>
      </c>
      <c r="X315" s="1"/>
      <c r="Y315" s="1"/>
      <c r="Z315" s="1" t="s">
        <v>128</v>
      </c>
      <c r="AA315" s="1" t="s">
        <v>1641</v>
      </c>
      <c r="AB315" s="1" t="str">
        <f>"***962060**"</f>
        <v>***962060**</v>
      </c>
      <c r="AC315" s="1"/>
      <c r="AD315" s="1" t="s">
        <v>149</v>
      </c>
      <c r="AE315" s="1"/>
      <c r="AF315" s="1">
        <v>-56.037667</v>
      </c>
      <c r="AG315" s="1">
        <v>-29.411111</v>
      </c>
      <c r="AH315" s="1" t="s">
        <v>1642</v>
      </c>
      <c r="AI315" s="1"/>
      <c r="AJ315" s="1" t="s">
        <v>151</v>
      </c>
      <c r="AK315" s="1"/>
      <c r="AL315" s="1"/>
      <c r="AM315" s="1" t="s">
        <v>65</v>
      </c>
      <c r="AN315" s="1" t="s">
        <v>1551</v>
      </c>
      <c r="AO315" s="1"/>
      <c r="AP315" s="2">
        <v>44230.5559490741</v>
      </c>
      <c r="AQ315" s="1"/>
      <c r="AR315" s="1" t="s">
        <v>229</v>
      </c>
      <c r="AS315" s="1" t="s">
        <v>1643</v>
      </c>
      <c r="AT315" s="2">
        <v>44269.931099537</v>
      </c>
    </row>
    <row r="316" ht="13.5" customHeight="1">
      <c r="A316" s="1">
        <v>2037968.0</v>
      </c>
      <c r="B316" s="1" t="s">
        <v>67</v>
      </c>
      <c r="C316" s="1" t="s">
        <v>68</v>
      </c>
      <c r="D316" s="1" t="s">
        <v>46</v>
      </c>
      <c r="E316" s="1" t="s">
        <v>1644</v>
      </c>
      <c r="F316" s="1"/>
      <c r="G316" s="1" t="s">
        <v>70</v>
      </c>
      <c r="H316" s="1" t="s">
        <v>93</v>
      </c>
      <c r="I316" s="1">
        <v>217516.68</v>
      </c>
      <c r="J316" s="1"/>
      <c r="K316" s="1"/>
      <c r="L316" s="1" t="s">
        <v>172</v>
      </c>
      <c r="M316" s="1" t="s">
        <v>1645</v>
      </c>
      <c r="N316" s="1" t="s">
        <v>142</v>
      </c>
      <c r="O316" s="1" t="s">
        <v>143</v>
      </c>
      <c r="P316" s="2">
        <v>43811.5</v>
      </c>
      <c r="Q316" s="1" t="s">
        <v>373</v>
      </c>
      <c r="R316" s="3">
        <v>43811.0</v>
      </c>
      <c r="S316" s="1"/>
      <c r="T316" s="1">
        <v>1400100.0</v>
      </c>
      <c r="U316" s="1" t="s">
        <v>185</v>
      </c>
      <c r="V316" s="1" t="s">
        <v>186</v>
      </c>
      <c r="W316" s="1" t="s">
        <v>177</v>
      </c>
      <c r="X316" s="1"/>
      <c r="Y316" s="1" t="str">
        <f>"02001003052202013"</f>
        <v>02001003052202013</v>
      </c>
      <c r="Z316" s="1" t="s">
        <v>147</v>
      </c>
      <c r="AA316" s="1" t="s">
        <v>1646</v>
      </c>
      <c r="AB316" s="1" t="str">
        <f>"10327875000156"</f>
        <v>10327875000156</v>
      </c>
      <c r="AC316" s="1"/>
      <c r="AD316" s="1"/>
      <c r="AE316" s="1"/>
      <c r="AF316" s="1">
        <v>-60.70528</v>
      </c>
      <c r="AG316" s="1">
        <v>2.769444</v>
      </c>
      <c r="AH316" s="1" t="s">
        <v>1647</v>
      </c>
      <c r="AI316" s="1"/>
      <c r="AJ316" s="1" t="s">
        <v>172</v>
      </c>
      <c r="AK316" s="1"/>
      <c r="AL316" s="1" t="s">
        <v>79</v>
      </c>
      <c r="AM316" s="1" t="s">
        <v>65</v>
      </c>
      <c r="AN316" s="1" t="s">
        <v>180</v>
      </c>
      <c r="AO316" s="2">
        <v>44016.0</v>
      </c>
      <c r="AP316" s="2">
        <v>44016.5375</v>
      </c>
      <c r="AQ316" s="1" t="s">
        <v>80</v>
      </c>
      <c r="AR316" s="1" t="s">
        <v>181</v>
      </c>
      <c r="AS316" s="1"/>
      <c r="AT316" s="2">
        <v>44269.931099537</v>
      </c>
    </row>
    <row r="317" ht="13.5" customHeight="1">
      <c r="A317" s="1">
        <v>2043141.0</v>
      </c>
      <c r="B317" s="1" t="s">
        <v>67</v>
      </c>
      <c r="C317" s="1" t="s">
        <v>68</v>
      </c>
      <c r="D317" s="1" t="s">
        <v>46</v>
      </c>
      <c r="E317" s="1" t="s">
        <v>1648</v>
      </c>
      <c r="F317" s="1"/>
      <c r="G317" s="1" t="s">
        <v>70</v>
      </c>
      <c r="H317" s="1" t="s">
        <v>93</v>
      </c>
      <c r="I317" s="1">
        <v>65000.0</v>
      </c>
      <c r="J317" s="1"/>
      <c r="K317" s="1"/>
      <c r="L317" s="1" t="s">
        <v>569</v>
      </c>
      <c r="M317" s="1" t="s">
        <v>1649</v>
      </c>
      <c r="N317" s="1" t="s">
        <v>142</v>
      </c>
      <c r="O317" s="1" t="s">
        <v>143</v>
      </c>
      <c r="P317" s="2">
        <v>43811.5</v>
      </c>
      <c r="Q317" s="1" t="s">
        <v>74</v>
      </c>
      <c r="R317" s="3">
        <v>43817.0</v>
      </c>
      <c r="S317" s="1" t="s">
        <v>1650</v>
      </c>
      <c r="T317" s="1">
        <v>2806503.0</v>
      </c>
      <c r="U317" s="1" t="s">
        <v>1651</v>
      </c>
      <c r="V317" s="1" t="s">
        <v>566</v>
      </c>
      <c r="W317" s="1" t="s">
        <v>59</v>
      </c>
      <c r="X317" s="1"/>
      <c r="Y317" s="1"/>
      <c r="Z317" s="1" t="s">
        <v>147</v>
      </c>
      <c r="AA317" s="1" t="s">
        <v>1652</v>
      </c>
      <c r="AB317" s="1" t="str">
        <f>"***630245**"</f>
        <v>***630245**</v>
      </c>
      <c r="AC317" s="1"/>
      <c r="AD317" s="1"/>
      <c r="AE317" s="1"/>
      <c r="AF317" s="1">
        <v>-37.258889</v>
      </c>
      <c r="AG317" s="1">
        <v>-10.594167</v>
      </c>
      <c r="AH317" s="1" t="s">
        <v>1653</v>
      </c>
      <c r="AI317" s="1"/>
      <c r="AJ317" s="1" t="s">
        <v>569</v>
      </c>
      <c r="AK317" s="1"/>
      <c r="AL317" s="1" t="s">
        <v>79</v>
      </c>
      <c r="AM317" s="1" t="s">
        <v>65</v>
      </c>
      <c r="AN317" s="1"/>
      <c r="AO317" s="2">
        <v>44229.0</v>
      </c>
      <c r="AP317" s="2">
        <v>44229.649837963</v>
      </c>
      <c r="AQ317" s="1" t="s">
        <v>80</v>
      </c>
      <c r="AR317" s="1" t="s">
        <v>650</v>
      </c>
      <c r="AS317" s="1"/>
      <c r="AT317" s="2">
        <v>44269.931099537</v>
      </c>
    </row>
    <row r="318" ht="13.5" customHeight="1">
      <c r="A318" s="1"/>
      <c r="B318" s="1" t="s">
        <v>46</v>
      </c>
      <c r="C318" s="1" t="s">
        <v>47</v>
      </c>
      <c r="D318" s="1"/>
      <c r="E318" s="1" t="s">
        <v>1654</v>
      </c>
      <c r="F318" s="1"/>
      <c r="G318" s="1" t="s">
        <v>49</v>
      </c>
      <c r="H318" s="1" t="s">
        <v>50</v>
      </c>
      <c r="I318" s="1">
        <v>500500.0</v>
      </c>
      <c r="J318" s="1"/>
      <c r="K318" s="1" t="s">
        <v>140</v>
      </c>
      <c r="L318" s="1"/>
      <c r="M318" s="1" t="s">
        <v>1655</v>
      </c>
      <c r="N318" s="1" t="s">
        <v>212</v>
      </c>
      <c r="O318" s="1" t="s">
        <v>213</v>
      </c>
      <c r="P318" s="2">
        <v>43811.492349537</v>
      </c>
      <c r="Q318" s="1" t="s">
        <v>74</v>
      </c>
      <c r="R318" s="1"/>
      <c r="S318" s="1"/>
      <c r="T318" s="1">
        <v>2307254.0</v>
      </c>
      <c r="U318" s="1" t="s">
        <v>1656</v>
      </c>
      <c r="V318" s="1" t="s">
        <v>112</v>
      </c>
      <c r="W318" s="1" t="s">
        <v>288</v>
      </c>
      <c r="X318" s="1"/>
      <c r="Y318" s="1"/>
      <c r="Z318" s="1" t="s">
        <v>215</v>
      </c>
      <c r="AA318" s="1" t="s">
        <v>1657</v>
      </c>
      <c r="AB318" s="1" t="str">
        <f>"07040108000157"</f>
        <v>07040108000157</v>
      </c>
      <c r="AC318" s="1"/>
      <c r="AD318" s="1" t="s">
        <v>149</v>
      </c>
      <c r="AE318" s="1"/>
      <c r="AF318" s="1">
        <v>-40.504391</v>
      </c>
      <c r="AG318" s="1">
        <v>-2.8</v>
      </c>
      <c r="AH318" s="1" t="s">
        <v>1658</v>
      </c>
      <c r="AI318" s="1"/>
      <c r="AJ318" s="1" t="s">
        <v>172</v>
      </c>
      <c r="AK318" s="1"/>
      <c r="AL318" s="1"/>
      <c r="AM318" s="1" t="s">
        <v>65</v>
      </c>
      <c r="AN318" s="1" t="s">
        <v>720</v>
      </c>
      <c r="AO318" s="1"/>
      <c r="AP318" s="2">
        <v>44036.7348726852</v>
      </c>
      <c r="AQ318" s="1"/>
      <c r="AR318" s="1" t="s">
        <v>721</v>
      </c>
      <c r="AS318" s="1" t="s">
        <v>722</v>
      </c>
      <c r="AT318" s="2">
        <v>44269.931099537</v>
      </c>
    </row>
    <row r="319" ht="13.5" customHeight="1">
      <c r="A319" s="1"/>
      <c r="B319" s="1" t="s">
        <v>46</v>
      </c>
      <c r="C319" s="1" t="s">
        <v>47</v>
      </c>
      <c r="D319" s="1"/>
      <c r="E319" s="1" t="s">
        <v>1659</v>
      </c>
      <c r="F319" s="1"/>
      <c r="G319" s="1" t="s">
        <v>49</v>
      </c>
      <c r="H319" s="1" t="s">
        <v>93</v>
      </c>
      <c r="I319" s="1">
        <v>21000.0</v>
      </c>
      <c r="J319" s="1"/>
      <c r="K319" s="1" t="s">
        <v>51</v>
      </c>
      <c r="L319" s="1"/>
      <c r="M319" s="1" t="s">
        <v>1660</v>
      </c>
      <c r="N319" s="1" t="s">
        <v>212</v>
      </c>
      <c r="O319" s="1" t="s">
        <v>213</v>
      </c>
      <c r="P319" s="2">
        <v>43811.4905439815</v>
      </c>
      <c r="Q319" s="1" t="s">
        <v>74</v>
      </c>
      <c r="R319" s="1"/>
      <c r="S319" s="1"/>
      <c r="T319" s="1">
        <v>4205407.0</v>
      </c>
      <c r="U319" s="1" t="s">
        <v>1069</v>
      </c>
      <c r="V319" s="1" t="s">
        <v>267</v>
      </c>
      <c r="W319" s="1" t="s">
        <v>59</v>
      </c>
      <c r="X319" s="1"/>
      <c r="Y319" s="1"/>
      <c r="Z319" s="1" t="s">
        <v>215</v>
      </c>
      <c r="AA319" s="1" t="s">
        <v>1661</v>
      </c>
      <c r="AB319" s="1" t="str">
        <f>"82951344000140"</f>
        <v>82951344000140</v>
      </c>
      <c r="AC319" s="1"/>
      <c r="AD319" s="1" t="s">
        <v>62</v>
      </c>
      <c r="AE319" s="1"/>
      <c r="AF319" s="1">
        <v>-48.550556</v>
      </c>
      <c r="AG319" s="1">
        <v>-27.595278</v>
      </c>
      <c r="AH319" s="1" t="s">
        <v>1662</v>
      </c>
      <c r="AI319" s="1"/>
      <c r="AJ319" s="1" t="s">
        <v>131</v>
      </c>
      <c r="AK319" s="1"/>
      <c r="AL319" s="1"/>
      <c r="AM319" s="1" t="s">
        <v>65</v>
      </c>
      <c r="AN319" s="1" t="s">
        <v>132</v>
      </c>
      <c r="AO319" s="1"/>
      <c r="AP319" s="2">
        <v>43811.5012384259</v>
      </c>
      <c r="AQ319" s="1"/>
      <c r="AR319" s="1" t="s">
        <v>899</v>
      </c>
      <c r="AS319" s="1"/>
      <c r="AT319" s="2">
        <v>44269.931099537</v>
      </c>
    </row>
    <row r="320" ht="13.5" customHeight="1">
      <c r="A320" s="1"/>
      <c r="B320" s="1" t="s">
        <v>46</v>
      </c>
      <c r="C320" s="1" t="s">
        <v>47</v>
      </c>
      <c r="D320" s="1"/>
      <c r="E320" s="1" t="s">
        <v>1663</v>
      </c>
      <c r="F320" s="1"/>
      <c r="G320" s="1" t="s">
        <v>49</v>
      </c>
      <c r="H320" s="1" t="s">
        <v>50</v>
      </c>
      <c r="I320" s="1">
        <v>7600000.0</v>
      </c>
      <c r="J320" s="1"/>
      <c r="K320" s="1" t="s">
        <v>51</v>
      </c>
      <c r="L320" s="1"/>
      <c r="M320" s="1" t="s">
        <v>1664</v>
      </c>
      <c r="N320" s="1" t="s">
        <v>283</v>
      </c>
      <c r="O320" s="1" t="s">
        <v>1133</v>
      </c>
      <c r="P320" s="2">
        <v>43811.4828819445</v>
      </c>
      <c r="Q320" s="1" t="s">
        <v>74</v>
      </c>
      <c r="R320" s="1"/>
      <c r="S320" s="1"/>
      <c r="T320" s="1">
        <v>3302403.0</v>
      </c>
      <c r="U320" s="1" t="s">
        <v>1371</v>
      </c>
      <c r="V320" s="1" t="s">
        <v>287</v>
      </c>
      <c r="W320" s="1" t="s">
        <v>288</v>
      </c>
      <c r="X320" s="1"/>
      <c r="Y320" s="1"/>
      <c r="Z320" s="1" t="s">
        <v>128</v>
      </c>
      <c r="AA320" s="1" t="s">
        <v>1449</v>
      </c>
      <c r="AB320" s="1" t="str">
        <f>"33000167100750"</f>
        <v>33000167100750</v>
      </c>
      <c r="AC320" s="1"/>
      <c r="AD320" s="1" t="s">
        <v>149</v>
      </c>
      <c r="AE320" s="1"/>
      <c r="AF320" s="1">
        <v>-40.47028</v>
      </c>
      <c r="AG320" s="1">
        <v>-22.464724</v>
      </c>
      <c r="AH320" s="1" t="s">
        <v>1527</v>
      </c>
      <c r="AI320" s="1"/>
      <c r="AJ320" s="1" t="s">
        <v>172</v>
      </c>
      <c r="AK320" s="1"/>
      <c r="AL320" s="1"/>
      <c r="AM320" s="1" t="s">
        <v>65</v>
      </c>
      <c r="AN320" s="1" t="s">
        <v>720</v>
      </c>
      <c r="AO320" s="1"/>
      <c r="AP320" s="2">
        <v>44013.7172106482</v>
      </c>
      <c r="AQ320" s="1"/>
      <c r="AR320" s="1" t="s">
        <v>1360</v>
      </c>
      <c r="AS320" s="1" t="s">
        <v>1361</v>
      </c>
      <c r="AT320" s="2">
        <v>44269.931099537</v>
      </c>
    </row>
    <row r="321" ht="13.5" customHeight="1">
      <c r="A321" s="1"/>
      <c r="B321" s="1" t="s">
        <v>46</v>
      </c>
      <c r="C321" s="1" t="s">
        <v>47</v>
      </c>
      <c r="D321" s="1"/>
      <c r="E321" s="1" t="s">
        <v>1665</v>
      </c>
      <c r="F321" s="1"/>
      <c r="G321" s="1" t="s">
        <v>49</v>
      </c>
      <c r="H321" s="1" t="s">
        <v>93</v>
      </c>
      <c r="I321" s="1">
        <v>1100.0</v>
      </c>
      <c r="J321" s="1"/>
      <c r="K321" s="1" t="s">
        <v>51</v>
      </c>
      <c r="L321" s="1"/>
      <c r="M321" s="1" t="s">
        <v>1666</v>
      </c>
      <c r="N321" s="1" t="s">
        <v>108</v>
      </c>
      <c r="O321" s="1" t="s">
        <v>109</v>
      </c>
      <c r="P321" s="2">
        <v>43811.4812962963</v>
      </c>
      <c r="Q321" s="1" t="s">
        <v>74</v>
      </c>
      <c r="R321" s="3">
        <v>43811.0</v>
      </c>
      <c r="S321" s="1"/>
      <c r="T321" s="1">
        <v>2211001.0</v>
      </c>
      <c r="U321" s="1" t="s">
        <v>1667</v>
      </c>
      <c r="V321" s="1" t="s">
        <v>895</v>
      </c>
      <c r="W321" s="1" t="s">
        <v>113</v>
      </c>
      <c r="X321" s="1"/>
      <c r="Y321" s="1"/>
      <c r="Z321" s="1" t="s">
        <v>226</v>
      </c>
      <c r="AA321" s="1" t="s">
        <v>1668</v>
      </c>
      <c r="AB321" s="1" t="str">
        <f>"41285826000121"</f>
        <v>41285826000121</v>
      </c>
      <c r="AC321" s="1"/>
      <c r="AD321" s="1" t="s">
        <v>62</v>
      </c>
      <c r="AE321" s="1"/>
      <c r="AF321" s="1">
        <v>-41.77861</v>
      </c>
      <c r="AG321" s="1">
        <v>-2.896667</v>
      </c>
      <c r="AH321" s="1" t="s">
        <v>1669</v>
      </c>
      <c r="AI321" s="1"/>
      <c r="AJ321" s="1" t="s">
        <v>898</v>
      </c>
      <c r="AK321" s="1"/>
      <c r="AL321" s="1"/>
      <c r="AM321" s="1" t="s">
        <v>65</v>
      </c>
      <c r="AN321" s="1" t="s">
        <v>152</v>
      </c>
      <c r="AO321" s="1"/>
      <c r="AP321" s="2">
        <v>43811.5211689815</v>
      </c>
      <c r="AQ321" s="1"/>
      <c r="AR321" s="1" t="s">
        <v>899</v>
      </c>
      <c r="AS321" s="1"/>
      <c r="AT321" s="2">
        <v>44269.931099537</v>
      </c>
    </row>
    <row r="322" ht="13.5" customHeight="1">
      <c r="A322" s="1"/>
      <c r="B322" s="1" t="s">
        <v>46</v>
      </c>
      <c r="C322" s="1" t="s">
        <v>47</v>
      </c>
      <c r="D322" s="1"/>
      <c r="E322" s="1" t="s">
        <v>1670</v>
      </c>
      <c r="F322" s="1"/>
      <c r="G322" s="1" t="s">
        <v>49</v>
      </c>
      <c r="H322" s="1" t="s">
        <v>50</v>
      </c>
      <c r="I322" s="1">
        <v>1000.0</v>
      </c>
      <c r="J322" s="1"/>
      <c r="K322" s="1" t="s">
        <v>140</v>
      </c>
      <c r="L322" s="1"/>
      <c r="M322" s="1" t="s">
        <v>1671</v>
      </c>
      <c r="N322" s="1" t="s">
        <v>53</v>
      </c>
      <c r="O322" s="1" t="s">
        <v>54</v>
      </c>
      <c r="P322" s="2">
        <v>43811.4736226852</v>
      </c>
      <c r="Q322" s="1" t="s">
        <v>373</v>
      </c>
      <c r="R322" s="1"/>
      <c r="S322" s="1"/>
      <c r="T322" s="1">
        <v>5003306.0</v>
      </c>
      <c r="U322" s="1" t="s">
        <v>1672</v>
      </c>
      <c r="V322" s="1" t="s">
        <v>529</v>
      </c>
      <c r="W322" s="1" t="s">
        <v>530</v>
      </c>
      <c r="X322" s="1"/>
      <c r="Y322" s="1"/>
      <c r="Z322" s="1" t="s">
        <v>60</v>
      </c>
      <c r="AA322" s="1" t="s">
        <v>1673</v>
      </c>
      <c r="AB322" s="1"/>
      <c r="AC322" s="1"/>
      <c r="AD322" s="1" t="s">
        <v>62</v>
      </c>
      <c r="AE322" s="1"/>
      <c r="AF322" s="1">
        <v>-54.916389</v>
      </c>
      <c r="AG322" s="1">
        <v>-18.43111</v>
      </c>
      <c r="AH322" s="1" t="s">
        <v>1674</v>
      </c>
      <c r="AI322" s="1"/>
      <c r="AJ322" s="1" t="s">
        <v>533</v>
      </c>
      <c r="AK322" s="1"/>
      <c r="AL322" s="1"/>
      <c r="AM322" s="1" t="s">
        <v>65</v>
      </c>
      <c r="AN322" s="1" t="s">
        <v>534</v>
      </c>
      <c r="AO322" s="1"/>
      <c r="AP322" s="2">
        <v>43811.4928240741</v>
      </c>
      <c r="AQ322" s="1"/>
      <c r="AR322" s="1" t="s">
        <v>1675</v>
      </c>
      <c r="AS322" s="1"/>
      <c r="AT322" s="2">
        <v>44269.931099537</v>
      </c>
    </row>
    <row r="323" ht="13.5" customHeight="1">
      <c r="A323" s="1">
        <v>2040015.0</v>
      </c>
      <c r="B323" s="1" t="s">
        <v>67</v>
      </c>
      <c r="C323" s="1" t="s">
        <v>68</v>
      </c>
      <c r="D323" s="1" t="s">
        <v>46</v>
      </c>
      <c r="E323" s="1" t="s">
        <v>1676</v>
      </c>
      <c r="F323" s="1"/>
      <c r="G323" s="1" t="s">
        <v>70</v>
      </c>
      <c r="H323" s="1" t="s">
        <v>50</v>
      </c>
      <c r="I323" s="1">
        <v>100000.0</v>
      </c>
      <c r="J323" s="1"/>
      <c r="K323" s="1"/>
      <c r="L323" s="1" t="s">
        <v>172</v>
      </c>
      <c r="M323" s="1" t="s">
        <v>1677</v>
      </c>
      <c r="N323" s="1" t="s">
        <v>283</v>
      </c>
      <c r="O323" s="1" t="s">
        <v>1133</v>
      </c>
      <c r="P323" s="2">
        <v>43811.4583333333</v>
      </c>
      <c r="Q323" s="1" t="s">
        <v>74</v>
      </c>
      <c r="R323" s="1"/>
      <c r="S323" s="1"/>
      <c r="T323" s="1">
        <v>3302403.0</v>
      </c>
      <c r="U323" s="1" t="s">
        <v>1371</v>
      </c>
      <c r="V323" s="1" t="s">
        <v>287</v>
      </c>
      <c r="W323" s="1" t="s">
        <v>288</v>
      </c>
      <c r="X323" s="1"/>
      <c r="Y323" s="1" t="str">
        <f>"02001035776201984"</f>
        <v>02001035776201984</v>
      </c>
      <c r="Z323" s="1" t="s">
        <v>128</v>
      </c>
      <c r="AA323" s="1" t="s">
        <v>1449</v>
      </c>
      <c r="AB323" s="1" t="str">
        <f t="shared" ref="AB323:AB324" si="21">"33000167100750"</f>
        <v>33000167100750</v>
      </c>
      <c r="AC323" s="1"/>
      <c r="AD323" s="1"/>
      <c r="AE323" s="1"/>
      <c r="AF323" s="1">
        <v>-40.762501</v>
      </c>
      <c r="AG323" s="1">
        <v>-22.797777</v>
      </c>
      <c r="AH323" s="1" t="s">
        <v>1620</v>
      </c>
      <c r="AI323" s="1"/>
      <c r="AJ323" s="1" t="s">
        <v>172</v>
      </c>
      <c r="AK323" s="1"/>
      <c r="AL323" s="1" t="s">
        <v>79</v>
      </c>
      <c r="AM323" s="1" t="s">
        <v>65</v>
      </c>
      <c r="AN323" s="1" t="s">
        <v>720</v>
      </c>
      <c r="AO323" s="2">
        <v>44083.0</v>
      </c>
      <c r="AP323" s="2">
        <v>44083.7441203704</v>
      </c>
      <c r="AQ323" s="1" t="s">
        <v>80</v>
      </c>
      <c r="AR323" s="1" t="s">
        <v>1485</v>
      </c>
      <c r="AS323" s="1" t="s">
        <v>1361</v>
      </c>
      <c r="AT323" s="2">
        <v>44269.931099537</v>
      </c>
    </row>
    <row r="324" ht="13.5" customHeight="1">
      <c r="A324" s="1">
        <v>2040049.0</v>
      </c>
      <c r="B324" s="1" t="s">
        <v>67</v>
      </c>
      <c r="C324" s="1" t="s">
        <v>68</v>
      </c>
      <c r="D324" s="1" t="s">
        <v>46</v>
      </c>
      <c r="E324" s="1" t="s">
        <v>1678</v>
      </c>
      <c r="F324" s="1"/>
      <c r="G324" s="1" t="s">
        <v>70</v>
      </c>
      <c r="H324" s="1" t="s">
        <v>50</v>
      </c>
      <c r="I324" s="1">
        <v>100000.0</v>
      </c>
      <c r="J324" s="1"/>
      <c r="K324" s="1"/>
      <c r="L324" s="1" t="s">
        <v>172</v>
      </c>
      <c r="M324" s="1" t="s">
        <v>1679</v>
      </c>
      <c r="N324" s="1" t="s">
        <v>283</v>
      </c>
      <c r="O324" s="1" t="s">
        <v>978</v>
      </c>
      <c r="P324" s="2">
        <v>43811.4583333333</v>
      </c>
      <c r="Q324" s="1" t="s">
        <v>74</v>
      </c>
      <c r="R324" s="1"/>
      <c r="S324" s="1"/>
      <c r="T324" s="1">
        <v>3302403.0</v>
      </c>
      <c r="U324" s="1" t="s">
        <v>1371</v>
      </c>
      <c r="V324" s="1" t="s">
        <v>287</v>
      </c>
      <c r="W324" s="1" t="s">
        <v>288</v>
      </c>
      <c r="X324" s="1"/>
      <c r="Y324" s="1" t="str">
        <f>"02001035774201995"</f>
        <v>02001035774201995</v>
      </c>
      <c r="Z324" s="1" t="s">
        <v>980</v>
      </c>
      <c r="AA324" s="1" t="s">
        <v>1449</v>
      </c>
      <c r="AB324" s="1" t="str">
        <f t="shared" si="21"/>
        <v>33000167100750</v>
      </c>
      <c r="AC324" s="1"/>
      <c r="AD324" s="1"/>
      <c r="AE324" s="1"/>
      <c r="AF324" s="1">
        <v>-40.762501</v>
      </c>
      <c r="AG324" s="1">
        <v>-22.797777</v>
      </c>
      <c r="AH324" s="1" t="s">
        <v>1620</v>
      </c>
      <c r="AI324" s="1"/>
      <c r="AJ324" s="1" t="s">
        <v>172</v>
      </c>
      <c r="AK324" s="1"/>
      <c r="AL324" s="1" t="s">
        <v>79</v>
      </c>
      <c r="AM324" s="1" t="s">
        <v>65</v>
      </c>
      <c r="AN324" s="1" t="s">
        <v>720</v>
      </c>
      <c r="AO324" s="2">
        <v>44084.0</v>
      </c>
      <c r="AP324" s="2">
        <v>44084.6832407407</v>
      </c>
      <c r="AQ324" s="1" t="s">
        <v>80</v>
      </c>
      <c r="AR324" s="1" t="s">
        <v>1485</v>
      </c>
      <c r="AS324" s="1" t="s">
        <v>1361</v>
      </c>
      <c r="AT324" s="2">
        <v>44269.931099537</v>
      </c>
    </row>
    <row r="325" ht="13.5" customHeight="1">
      <c r="A325" s="1">
        <v>2042603.0</v>
      </c>
      <c r="B325" s="1" t="s">
        <v>67</v>
      </c>
      <c r="C325" s="1" t="s">
        <v>68</v>
      </c>
      <c r="D325" s="1" t="s">
        <v>46</v>
      </c>
      <c r="E325" s="1" t="s">
        <v>1680</v>
      </c>
      <c r="F325" s="1"/>
      <c r="G325" s="1" t="s">
        <v>70</v>
      </c>
      <c r="H325" s="1" t="s">
        <v>93</v>
      </c>
      <c r="I325" s="1">
        <v>10000.0</v>
      </c>
      <c r="J325" s="1"/>
      <c r="K325" s="1"/>
      <c r="L325" s="1" t="s">
        <v>731</v>
      </c>
      <c r="M325" s="1" t="s">
        <v>1681</v>
      </c>
      <c r="N325" s="1" t="s">
        <v>283</v>
      </c>
      <c r="O325" s="1" t="s">
        <v>1364</v>
      </c>
      <c r="P325" s="2">
        <v>43811.4583333333</v>
      </c>
      <c r="Q325" s="1" t="s">
        <v>55</v>
      </c>
      <c r="R325" s="1"/>
      <c r="S325" s="1"/>
      <c r="T325" s="1">
        <v>2513703.0</v>
      </c>
      <c r="U325" s="1" t="s">
        <v>1682</v>
      </c>
      <c r="V325" s="1" t="s">
        <v>728</v>
      </c>
      <c r="W325" s="1" t="s">
        <v>59</v>
      </c>
      <c r="X325" s="1"/>
      <c r="Y325" s="1" t="str">
        <f>"02016000111202024"</f>
        <v>02016000111202024</v>
      </c>
      <c r="Z325" s="1" t="s">
        <v>128</v>
      </c>
      <c r="AA325" s="1" t="s">
        <v>1683</v>
      </c>
      <c r="AB325" s="1" t="str">
        <f>"08974214000170"</f>
        <v>08974214000170</v>
      </c>
      <c r="AC325" s="1"/>
      <c r="AD325" s="1"/>
      <c r="AE325" s="1"/>
      <c r="AF325" s="1">
        <v>-35.098331</v>
      </c>
      <c r="AG325" s="1">
        <v>-7.25</v>
      </c>
      <c r="AH325" s="1" t="s">
        <v>1684</v>
      </c>
      <c r="AI325" s="1"/>
      <c r="AJ325" s="1" t="s">
        <v>731</v>
      </c>
      <c r="AK325" s="1"/>
      <c r="AL325" s="1" t="s">
        <v>79</v>
      </c>
      <c r="AM325" s="1" t="s">
        <v>65</v>
      </c>
      <c r="AN325" s="1" t="s">
        <v>1551</v>
      </c>
      <c r="AO325" s="2">
        <v>44210.0</v>
      </c>
      <c r="AP325" s="2">
        <v>44210.6254282407</v>
      </c>
      <c r="AQ325" s="1" t="s">
        <v>80</v>
      </c>
      <c r="AR325" s="1" t="s">
        <v>1576</v>
      </c>
      <c r="AS325" s="1" t="s">
        <v>1685</v>
      </c>
      <c r="AT325" s="2">
        <v>44269.931099537</v>
      </c>
    </row>
    <row r="326" ht="13.5" customHeight="1">
      <c r="A326" s="1">
        <v>2035169.0</v>
      </c>
      <c r="B326" s="1" t="s">
        <v>67</v>
      </c>
      <c r="C326" s="1" t="s">
        <v>68</v>
      </c>
      <c r="D326" s="1" t="s">
        <v>46</v>
      </c>
      <c r="E326" s="1" t="s">
        <v>1686</v>
      </c>
      <c r="F326" s="1"/>
      <c r="G326" s="1" t="s">
        <v>70</v>
      </c>
      <c r="H326" s="1" t="s">
        <v>93</v>
      </c>
      <c r="I326" s="1">
        <v>4442.0</v>
      </c>
      <c r="J326" s="1"/>
      <c r="K326" s="1"/>
      <c r="L326" s="1" t="s">
        <v>151</v>
      </c>
      <c r="M326" s="1" t="s">
        <v>1687</v>
      </c>
      <c r="N326" s="1" t="s">
        <v>142</v>
      </c>
      <c r="O326" s="1" t="s">
        <v>143</v>
      </c>
      <c r="P326" s="2">
        <v>43811.4166666667</v>
      </c>
      <c r="Q326" s="1" t="s">
        <v>74</v>
      </c>
      <c r="R326" s="3">
        <v>43810.0</v>
      </c>
      <c r="S326" s="1"/>
      <c r="T326" s="1">
        <v>4306205.0</v>
      </c>
      <c r="U326" s="1" t="s">
        <v>497</v>
      </c>
      <c r="V326" s="1" t="s">
        <v>145</v>
      </c>
      <c r="W326" s="1" t="s">
        <v>59</v>
      </c>
      <c r="X326" s="1"/>
      <c r="Y326" s="1" t="str">
        <f>"02023000828202087"</f>
        <v>02023000828202087</v>
      </c>
      <c r="Z326" s="1" t="s">
        <v>147</v>
      </c>
      <c r="AA326" s="1" t="s">
        <v>1688</v>
      </c>
      <c r="AB326" s="1" t="str">
        <f>"06095229000133"</f>
        <v>06095229000133</v>
      </c>
      <c r="AC326" s="1"/>
      <c r="AD326" s="1"/>
      <c r="AE326" s="1"/>
      <c r="AF326" s="1">
        <v>-52.074444</v>
      </c>
      <c r="AG326" s="1">
        <v>-29.638334</v>
      </c>
      <c r="AH326" s="1" t="s">
        <v>1689</v>
      </c>
      <c r="AI326" s="1"/>
      <c r="AJ326" s="1" t="s">
        <v>151</v>
      </c>
      <c r="AK326" s="1"/>
      <c r="AL326" s="1" t="s">
        <v>79</v>
      </c>
      <c r="AM326" s="1" t="s">
        <v>65</v>
      </c>
      <c r="AN326" s="1" t="s">
        <v>152</v>
      </c>
      <c r="AO326" s="2">
        <v>43896.0</v>
      </c>
      <c r="AP326" s="2">
        <v>43896.4362731482</v>
      </c>
      <c r="AQ326" s="1" t="s">
        <v>80</v>
      </c>
      <c r="AR326" s="1" t="s">
        <v>181</v>
      </c>
      <c r="AS326" s="1" t="s">
        <v>1690</v>
      </c>
      <c r="AT326" s="2">
        <v>44269.931099537</v>
      </c>
    </row>
    <row r="327" ht="13.5" customHeight="1">
      <c r="A327" s="1">
        <v>2035574.0</v>
      </c>
      <c r="B327" s="1" t="s">
        <v>67</v>
      </c>
      <c r="C327" s="1" t="s">
        <v>68</v>
      </c>
      <c r="D327" s="1" t="s">
        <v>46</v>
      </c>
      <c r="E327" s="1" t="s">
        <v>1691</v>
      </c>
      <c r="F327" s="1"/>
      <c r="G327" s="1" t="s">
        <v>70</v>
      </c>
      <c r="H327" s="1" t="s">
        <v>93</v>
      </c>
      <c r="I327" s="1">
        <v>735000.0</v>
      </c>
      <c r="J327" s="1"/>
      <c r="K327" s="1"/>
      <c r="L327" s="1" t="s">
        <v>358</v>
      </c>
      <c r="M327" s="1" t="s">
        <v>1692</v>
      </c>
      <c r="N327" s="1" t="s">
        <v>142</v>
      </c>
      <c r="O327" s="1" t="s">
        <v>143</v>
      </c>
      <c r="P327" s="2">
        <v>43811.4166666667</v>
      </c>
      <c r="Q327" s="1" t="s">
        <v>74</v>
      </c>
      <c r="R327" s="3">
        <v>43814.0</v>
      </c>
      <c r="S327" s="1"/>
      <c r="T327" s="1">
        <v>4110201.0</v>
      </c>
      <c r="U327" s="1" t="s">
        <v>1693</v>
      </c>
      <c r="V327" s="1" t="s">
        <v>176</v>
      </c>
      <c r="W327" s="1" t="s">
        <v>59</v>
      </c>
      <c r="X327" s="1"/>
      <c r="Y327" s="1" t="str">
        <f>"02017000262202072"</f>
        <v>02017000262202072</v>
      </c>
      <c r="Z327" s="1" t="s">
        <v>147</v>
      </c>
      <c r="AA327" s="1" t="s">
        <v>1694</v>
      </c>
      <c r="AB327" s="1" t="str">
        <f>"***902769**"</f>
        <v>***902769**</v>
      </c>
      <c r="AC327" s="1"/>
      <c r="AD327" s="1"/>
      <c r="AE327" s="1"/>
      <c r="AF327" s="1">
        <v>-51.175831</v>
      </c>
      <c r="AG327" s="1">
        <v>-25.777222</v>
      </c>
      <c r="AH327" s="1" t="s">
        <v>1695</v>
      </c>
      <c r="AI327" s="1"/>
      <c r="AJ327" s="1" t="s">
        <v>358</v>
      </c>
      <c r="AK327" s="1"/>
      <c r="AL327" s="1" t="s">
        <v>79</v>
      </c>
      <c r="AM327" s="1" t="s">
        <v>65</v>
      </c>
      <c r="AN327" s="1" t="s">
        <v>1696</v>
      </c>
      <c r="AO327" s="2">
        <v>43909.0</v>
      </c>
      <c r="AP327" s="2">
        <v>43909.4582291667</v>
      </c>
      <c r="AQ327" s="1" t="s">
        <v>80</v>
      </c>
      <c r="AR327" s="1" t="s">
        <v>392</v>
      </c>
      <c r="AS327" s="1" t="s">
        <v>1697</v>
      </c>
      <c r="AT327" s="2">
        <v>44269.931099537</v>
      </c>
    </row>
    <row r="328" ht="13.5" customHeight="1">
      <c r="A328" s="1">
        <v>2040309.0</v>
      </c>
      <c r="B328" s="1" t="s">
        <v>67</v>
      </c>
      <c r="C328" s="1" t="s">
        <v>68</v>
      </c>
      <c r="D328" s="1" t="s">
        <v>46</v>
      </c>
      <c r="E328" s="1" t="s">
        <v>1698</v>
      </c>
      <c r="F328" s="1"/>
      <c r="G328" s="1" t="s">
        <v>70</v>
      </c>
      <c r="H328" s="1" t="s">
        <v>93</v>
      </c>
      <c r="I328" s="1">
        <v>765000.0</v>
      </c>
      <c r="J328" s="1"/>
      <c r="K328" s="1"/>
      <c r="L328" s="1" t="s">
        <v>172</v>
      </c>
      <c r="M328" s="1" t="s">
        <v>1699</v>
      </c>
      <c r="N328" s="1" t="s">
        <v>142</v>
      </c>
      <c r="O328" s="1" t="s">
        <v>143</v>
      </c>
      <c r="P328" s="2">
        <v>43811.4166666667</v>
      </c>
      <c r="Q328" s="1" t="s">
        <v>74</v>
      </c>
      <c r="R328" s="3">
        <v>43810.0</v>
      </c>
      <c r="S328" s="1"/>
      <c r="T328" s="1">
        <v>5106158.0</v>
      </c>
      <c r="U328" s="1" t="s">
        <v>1700</v>
      </c>
      <c r="V328" s="1" t="s">
        <v>164</v>
      </c>
      <c r="W328" s="1" t="s">
        <v>177</v>
      </c>
      <c r="X328" s="1"/>
      <c r="Y328" s="1" t="str">
        <f>"02001000679202012"</f>
        <v>02001000679202012</v>
      </c>
      <c r="Z328" s="1" t="s">
        <v>147</v>
      </c>
      <c r="AA328" s="1" t="s">
        <v>1701</v>
      </c>
      <c r="AB328" s="1" t="str">
        <f>"***900559**"</f>
        <v>***900559**</v>
      </c>
      <c r="AC328" s="1"/>
      <c r="AD328" s="1"/>
      <c r="AE328" s="1"/>
      <c r="AF328" s="1">
        <v>-58.037777</v>
      </c>
      <c r="AG328" s="1">
        <v>-10.145833</v>
      </c>
      <c r="AH328" s="1" t="s">
        <v>1702</v>
      </c>
      <c r="AI328" s="1"/>
      <c r="AJ328" s="1" t="s">
        <v>172</v>
      </c>
      <c r="AK328" s="1"/>
      <c r="AL328" s="1" t="s">
        <v>79</v>
      </c>
      <c r="AM328" s="1" t="s">
        <v>65</v>
      </c>
      <c r="AN328" s="1" t="s">
        <v>1703</v>
      </c>
      <c r="AO328" s="2">
        <v>44119.0</v>
      </c>
      <c r="AP328" s="2">
        <v>44119.6473032407</v>
      </c>
      <c r="AQ328" s="1" t="s">
        <v>80</v>
      </c>
      <c r="AR328" s="1" t="s">
        <v>421</v>
      </c>
      <c r="AS328" s="1"/>
      <c r="AT328" s="2">
        <v>44269.931099537</v>
      </c>
    </row>
    <row r="329" ht="13.5" customHeight="1">
      <c r="A329" s="1"/>
      <c r="B329" s="1" t="s">
        <v>46</v>
      </c>
      <c r="C329" s="1" t="s">
        <v>47</v>
      </c>
      <c r="D329" s="1"/>
      <c r="E329" s="1" t="s">
        <v>1704</v>
      </c>
      <c r="F329" s="1"/>
      <c r="G329" s="1" t="s">
        <v>49</v>
      </c>
      <c r="H329" s="1" t="s">
        <v>93</v>
      </c>
      <c r="I329" s="1">
        <v>500.0</v>
      </c>
      <c r="J329" s="1"/>
      <c r="K329" s="1" t="s">
        <v>51</v>
      </c>
      <c r="L329" s="1"/>
      <c r="M329" s="1" t="s">
        <v>1705</v>
      </c>
      <c r="N329" s="1" t="s">
        <v>212</v>
      </c>
      <c r="O329" s="1" t="s">
        <v>213</v>
      </c>
      <c r="P329" s="2">
        <v>43811.3948263889</v>
      </c>
      <c r="Q329" s="1" t="s">
        <v>373</v>
      </c>
      <c r="R329" s="1"/>
      <c r="S329" s="1"/>
      <c r="T329" s="1">
        <v>2601102.0</v>
      </c>
      <c r="U329" s="1" t="s">
        <v>1276</v>
      </c>
      <c r="V329" s="1" t="s">
        <v>1037</v>
      </c>
      <c r="W329" s="1" t="s">
        <v>113</v>
      </c>
      <c r="X329" s="1"/>
      <c r="Y329" s="1"/>
      <c r="Z329" s="1" t="s">
        <v>215</v>
      </c>
      <c r="AA329" s="1" t="s">
        <v>1706</v>
      </c>
      <c r="AB329" s="1" t="str">
        <f>"29277198000137"</f>
        <v>29277198000137</v>
      </c>
      <c r="AC329" s="1"/>
      <c r="AD329" s="1" t="s">
        <v>149</v>
      </c>
      <c r="AE329" s="1"/>
      <c r="AF329" s="1">
        <v>-40.505554</v>
      </c>
      <c r="AG329" s="1">
        <v>-7.609722</v>
      </c>
      <c r="AH329" s="1" t="s">
        <v>1707</v>
      </c>
      <c r="AI329" s="1"/>
      <c r="AJ329" s="1" t="s">
        <v>1040</v>
      </c>
      <c r="AK329" s="1"/>
      <c r="AL329" s="1"/>
      <c r="AM329" s="1" t="s">
        <v>65</v>
      </c>
      <c r="AN329" s="1" t="s">
        <v>1279</v>
      </c>
      <c r="AO329" s="1"/>
      <c r="AP329" s="2">
        <v>43811.4158101852</v>
      </c>
      <c r="AQ329" s="1"/>
      <c r="AR329" s="1" t="s">
        <v>1280</v>
      </c>
      <c r="AS329" s="1"/>
      <c r="AT329" s="2">
        <v>44269.931099537</v>
      </c>
    </row>
    <row r="330" ht="13.5" customHeight="1">
      <c r="A330" s="1"/>
      <c r="B330" s="1" t="s">
        <v>46</v>
      </c>
      <c r="C330" s="1" t="s">
        <v>47</v>
      </c>
      <c r="D330" s="1"/>
      <c r="E330" s="1" t="s">
        <v>1708</v>
      </c>
      <c r="F330" s="1"/>
      <c r="G330" s="1" t="s">
        <v>49</v>
      </c>
      <c r="H330" s="1" t="s">
        <v>50</v>
      </c>
      <c r="I330" s="1">
        <v>500500.0</v>
      </c>
      <c r="J330" s="1"/>
      <c r="K330" s="1" t="s">
        <v>140</v>
      </c>
      <c r="L330" s="1"/>
      <c r="M330" s="1" t="s">
        <v>1709</v>
      </c>
      <c r="N330" s="1" t="s">
        <v>212</v>
      </c>
      <c r="O330" s="1" t="s">
        <v>213</v>
      </c>
      <c r="P330" s="2">
        <v>43811.3763425926</v>
      </c>
      <c r="Q330" s="1" t="s">
        <v>74</v>
      </c>
      <c r="R330" s="1"/>
      <c r="S330" s="1"/>
      <c r="T330" s="1">
        <v>3304508.0</v>
      </c>
      <c r="U330" s="1" t="s">
        <v>1710</v>
      </c>
      <c r="V330" s="1" t="s">
        <v>287</v>
      </c>
      <c r="W330" s="1" t="s">
        <v>288</v>
      </c>
      <c r="X330" s="1"/>
      <c r="Y330" s="1"/>
      <c r="Z330" s="1" t="s">
        <v>215</v>
      </c>
      <c r="AA330" s="1" t="s">
        <v>1711</v>
      </c>
      <c r="AB330" s="1" t="str">
        <f>"02709449008486"</f>
        <v>02709449008486</v>
      </c>
      <c r="AC330" s="1"/>
      <c r="AD330" s="1" t="s">
        <v>149</v>
      </c>
      <c r="AE330" s="1"/>
      <c r="AF330" s="1">
        <v>-43.262196</v>
      </c>
      <c r="AG330" s="1">
        <v>-22.700974</v>
      </c>
      <c r="AH330" s="1" t="s">
        <v>1712</v>
      </c>
      <c r="AI330" s="1"/>
      <c r="AJ330" s="1" t="s">
        <v>172</v>
      </c>
      <c r="AK330" s="1"/>
      <c r="AL330" s="1"/>
      <c r="AM330" s="1" t="s">
        <v>65</v>
      </c>
      <c r="AN330" s="1" t="s">
        <v>720</v>
      </c>
      <c r="AO330" s="1"/>
      <c r="AP330" s="2">
        <v>44036.7349537037</v>
      </c>
      <c r="AQ330" s="1"/>
      <c r="AR330" s="1" t="s">
        <v>721</v>
      </c>
      <c r="AS330" s="1" t="s">
        <v>722</v>
      </c>
      <c r="AT330" s="2">
        <v>44269.931099537</v>
      </c>
    </row>
    <row r="331" ht="13.5" customHeight="1">
      <c r="A331" s="1">
        <v>2037460.0</v>
      </c>
      <c r="B331" s="1" t="s">
        <v>67</v>
      </c>
      <c r="C331" s="1" t="s">
        <v>68</v>
      </c>
      <c r="D331" s="1" t="s">
        <v>46</v>
      </c>
      <c r="E331" s="1" t="s">
        <v>1713</v>
      </c>
      <c r="F331" s="1"/>
      <c r="G331" s="1" t="s">
        <v>70</v>
      </c>
      <c r="H331" s="1" t="s">
        <v>93</v>
      </c>
      <c r="I331" s="1">
        <v>9903.0</v>
      </c>
      <c r="J331" s="1"/>
      <c r="K331" s="1"/>
      <c r="L331" s="1" t="s">
        <v>569</v>
      </c>
      <c r="M331" s="1" t="s">
        <v>1714</v>
      </c>
      <c r="N331" s="1" t="s">
        <v>142</v>
      </c>
      <c r="O331" s="1" t="s">
        <v>143</v>
      </c>
      <c r="P331" s="2">
        <v>43811.375</v>
      </c>
      <c r="Q331" s="1" t="s">
        <v>373</v>
      </c>
      <c r="R331" s="3">
        <v>43811.0</v>
      </c>
      <c r="S331" s="1"/>
      <c r="T331" s="1">
        <v>2806008.0</v>
      </c>
      <c r="U331" s="1" t="s">
        <v>1715</v>
      </c>
      <c r="V331" s="1" t="s">
        <v>566</v>
      </c>
      <c r="W331" s="1" t="s">
        <v>177</v>
      </c>
      <c r="X331" s="1"/>
      <c r="Y331" s="1" t="str">
        <f>"02028001731201916"</f>
        <v>02028001731201916</v>
      </c>
      <c r="Z331" s="1" t="s">
        <v>147</v>
      </c>
      <c r="AA331" s="1" t="s">
        <v>1716</v>
      </c>
      <c r="AB331" s="1" t="str">
        <f>"05847709000140"</f>
        <v>05847709000140</v>
      </c>
      <c r="AC331" s="1"/>
      <c r="AD331" s="1"/>
      <c r="AE331" s="1"/>
      <c r="AF331" s="1">
        <v>-37.4375</v>
      </c>
      <c r="AG331" s="1">
        <v>-10.531388</v>
      </c>
      <c r="AH331" s="1" t="s">
        <v>1717</v>
      </c>
      <c r="AI331" s="1"/>
      <c r="AJ331" s="1" t="s">
        <v>569</v>
      </c>
      <c r="AK331" s="1"/>
      <c r="AL331" s="1" t="s">
        <v>79</v>
      </c>
      <c r="AM331" s="1" t="s">
        <v>65</v>
      </c>
      <c r="AN331" s="1" t="s">
        <v>570</v>
      </c>
      <c r="AO331" s="2">
        <v>43998.0</v>
      </c>
      <c r="AP331" s="2">
        <v>43998.4667708333</v>
      </c>
      <c r="AQ331" s="1" t="s">
        <v>80</v>
      </c>
      <c r="AR331" s="1" t="s">
        <v>1291</v>
      </c>
      <c r="AS331" s="1" t="s">
        <v>1718</v>
      </c>
      <c r="AT331" s="2">
        <v>44269.931099537</v>
      </c>
    </row>
    <row r="332" ht="13.5" customHeight="1">
      <c r="A332" s="1">
        <v>2040013.0</v>
      </c>
      <c r="B332" s="1" t="s">
        <v>67</v>
      </c>
      <c r="C332" s="1" t="s">
        <v>68</v>
      </c>
      <c r="D332" s="1" t="s">
        <v>46</v>
      </c>
      <c r="E332" s="1" t="s">
        <v>1719</v>
      </c>
      <c r="F332" s="1"/>
      <c r="G332" s="1" t="s">
        <v>70</v>
      </c>
      <c r="H332" s="1" t="s">
        <v>50</v>
      </c>
      <c r="I332" s="1">
        <v>200000.0</v>
      </c>
      <c r="J332" s="1"/>
      <c r="K332" s="1"/>
      <c r="L332" s="1" t="s">
        <v>172</v>
      </c>
      <c r="M332" s="1" t="s">
        <v>1720</v>
      </c>
      <c r="N332" s="1" t="s">
        <v>283</v>
      </c>
      <c r="O332" s="1" t="s">
        <v>1133</v>
      </c>
      <c r="P332" s="2">
        <v>43811.375</v>
      </c>
      <c r="Q332" s="1" t="s">
        <v>74</v>
      </c>
      <c r="R332" s="1"/>
      <c r="S332" s="1"/>
      <c r="T332" s="1">
        <v>3302403.0</v>
      </c>
      <c r="U332" s="1" t="s">
        <v>1371</v>
      </c>
      <c r="V332" s="1" t="s">
        <v>287</v>
      </c>
      <c r="W332" s="1" t="s">
        <v>288</v>
      </c>
      <c r="X332" s="1"/>
      <c r="Y332" s="1" t="str">
        <f>"02001035769201982"</f>
        <v>02001035769201982</v>
      </c>
      <c r="Z332" s="1" t="s">
        <v>128</v>
      </c>
      <c r="AA332" s="1" t="s">
        <v>1449</v>
      </c>
      <c r="AB332" s="1" t="str">
        <f>"33000167100750"</f>
        <v>33000167100750</v>
      </c>
      <c r="AC332" s="1"/>
      <c r="AD332" s="1"/>
      <c r="AE332" s="1"/>
      <c r="AF332" s="1">
        <v>-40.47028</v>
      </c>
      <c r="AG332" s="1">
        <v>-22.464724</v>
      </c>
      <c r="AH332" s="1" t="s">
        <v>1527</v>
      </c>
      <c r="AI332" s="1"/>
      <c r="AJ332" s="1" t="s">
        <v>172</v>
      </c>
      <c r="AK332" s="1"/>
      <c r="AL332" s="1" t="s">
        <v>79</v>
      </c>
      <c r="AM332" s="1" t="s">
        <v>65</v>
      </c>
      <c r="AN332" s="1" t="s">
        <v>720</v>
      </c>
      <c r="AO332" s="2">
        <v>44083.0</v>
      </c>
      <c r="AP332" s="2">
        <v>44083.7315393519</v>
      </c>
      <c r="AQ332" s="1" t="s">
        <v>80</v>
      </c>
      <c r="AR332" s="1" t="s">
        <v>1485</v>
      </c>
      <c r="AS332" s="1" t="s">
        <v>1361</v>
      </c>
      <c r="AT332" s="2">
        <v>44269.931099537</v>
      </c>
    </row>
    <row r="333" ht="13.5" customHeight="1">
      <c r="A333" s="1"/>
      <c r="B333" s="1" t="s">
        <v>46</v>
      </c>
      <c r="C333" s="1" t="s">
        <v>657</v>
      </c>
      <c r="D333" s="1" t="s">
        <v>67</v>
      </c>
      <c r="E333" s="1" t="s">
        <v>1721</v>
      </c>
      <c r="F333" s="1"/>
      <c r="G333" s="1" t="s">
        <v>49</v>
      </c>
      <c r="H333" s="1" t="s">
        <v>93</v>
      </c>
      <c r="I333" s="1">
        <v>65000.0</v>
      </c>
      <c r="J333" s="1"/>
      <c r="K333" s="1" t="s">
        <v>140</v>
      </c>
      <c r="L333" s="1"/>
      <c r="M333" s="1" t="s">
        <v>1722</v>
      </c>
      <c r="N333" s="1" t="s">
        <v>142</v>
      </c>
      <c r="O333" s="1" t="s">
        <v>143</v>
      </c>
      <c r="P333" s="2">
        <v>43811.0001273148</v>
      </c>
      <c r="Q333" s="1" t="s">
        <v>55</v>
      </c>
      <c r="R333" s="1"/>
      <c r="S333" s="1"/>
      <c r="T333" s="1">
        <v>2806503.0</v>
      </c>
      <c r="U333" s="1" t="s">
        <v>1651</v>
      </c>
      <c r="V333" s="1" t="s">
        <v>566</v>
      </c>
      <c r="W333" s="1" t="s">
        <v>59</v>
      </c>
      <c r="X333" s="1"/>
      <c r="Y333" s="1"/>
      <c r="Z333" s="1" t="s">
        <v>147</v>
      </c>
      <c r="AA333" s="1" t="s">
        <v>1723</v>
      </c>
      <c r="AB333" s="1" t="str">
        <f>"***630245**"</f>
        <v>***630245**</v>
      </c>
      <c r="AC333" s="1"/>
      <c r="AD333" s="1" t="s">
        <v>116</v>
      </c>
      <c r="AE333" s="1"/>
      <c r="AF333" s="1">
        <v>-37.258889</v>
      </c>
      <c r="AG333" s="1">
        <v>-10.594167</v>
      </c>
      <c r="AH333" s="1" t="s">
        <v>1724</v>
      </c>
      <c r="AI333" s="1"/>
      <c r="AJ333" s="1" t="s">
        <v>569</v>
      </c>
      <c r="AK333" s="1"/>
      <c r="AL333" s="1"/>
      <c r="AM333" s="1" t="s">
        <v>65</v>
      </c>
      <c r="AN333" s="1" t="s">
        <v>643</v>
      </c>
      <c r="AO333" s="1"/>
      <c r="AP333" s="2">
        <v>44230.7434143519</v>
      </c>
      <c r="AQ333" s="1"/>
      <c r="AR333" s="1" t="s">
        <v>644</v>
      </c>
      <c r="AS333" s="1"/>
      <c r="AT333" s="2">
        <v>44269.931099537</v>
      </c>
    </row>
    <row r="334" ht="13.5" customHeight="1">
      <c r="A334" s="1"/>
      <c r="B334" s="1" t="s">
        <v>46</v>
      </c>
      <c r="C334" s="1" t="s">
        <v>47</v>
      </c>
      <c r="D334" s="1"/>
      <c r="E334" s="1" t="s">
        <v>1725</v>
      </c>
      <c r="F334" s="1"/>
      <c r="G334" s="1" t="s">
        <v>49</v>
      </c>
      <c r="H334" s="1" t="s">
        <v>93</v>
      </c>
      <c r="I334" s="1">
        <v>500.0</v>
      </c>
      <c r="J334" s="1"/>
      <c r="K334" s="1"/>
      <c r="L334" s="1"/>
      <c r="M334" s="1" t="s">
        <v>1726</v>
      </c>
      <c r="N334" s="1" t="s">
        <v>95</v>
      </c>
      <c r="O334" s="1" t="s">
        <v>96</v>
      </c>
      <c r="P334" s="2">
        <v>43810.8543981482</v>
      </c>
      <c r="Q334" s="1" t="s">
        <v>373</v>
      </c>
      <c r="R334" s="1"/>
      <c r="S334" s="1"/>
      <c r="T334" s="1">
        <v>1200427.0</v>
      </c>
      <c r="U334" s="1" t="s">
        <v>1727</v>
      </c>
      <c r="V334" s="1" t="s">
        <v>498</v>
      </c>
      <c r="W334" s="1" t="s">
        <v>177</v>
      </c>
      <c r="X334" s="1"/>
      <c r="Y334" s="1" t="str">
        <f>"02021000641202001"</f>
        <v>02021000641202001</v>
      </c>
      <c r="Z334" s="1" t="s">
        <v>98</v>
      </c>
      <c r="AA334" s="1" t="s">
        <v>1728</v>
      </c>
      <c r="AB334" s="1"/>
      <c r="AC334" s="1"/>
      <c r="AD334" s="1" t="s">
        <v>149</v>
      </c>
      <c r="AE334" s="1"/>
      <c r="AF334" s="1">
        <v>-73.113335</v>
      </c>
      <c r="AG334" s="1">
        <v>-7.8925</v>
      </c>
      <c r="AH334" s="1" t="s">
        <v>1729</v>
      </c>
      <c r="AI334" s="1"/>
      <c r="AJ334" s="1" t="s">
        <v>501</v>
      </c>
      <c r="AK334" s="1"/>
      <c r="AL334" s="1"/>
      <c r="AM334" s="1" t="s">
        <v>65</v>
      </c>
      <c r="AN334" s="1"/>
      <c r="AO334" s="1"/>
      <c r="AP334" s="2">
        <v>43810.8634027778</v>
      </c>
      <c r="AQ334" s="1"/>
      <c r="AR334" s="1" t="s">
        <v>1730</v>
      </c>
      <c r="AS334" s="1"/>
      <c r="AT334" s="2">
        <v>44269.931099537</v>
      </c>
    </row>
    <row r="335" ht="13.5" customHeight="1">
      <c r="A335" s="1"/>
      <c r="B335" s="1" t="s">
        <v>46</v>
      </c>
      <c r="C335" s="1" t="s">
        <v>47</v>
      </c>
      <c r="D335" s="1"/>
      <c r="E335" s="1" t="s">
        <v>1731</v>
      </c>
      <c r="F335" s="1"/>
      <c r="G335" s="1" t="s">
        <v>49</v>
      </c>
      <c r="H335" s="1" t="s">
        <v>93</v>
      </c>
      <c r="I335" s="1">
        <v>10000.0</v>
      </c>
      <c r="J335" s="1"/>
      <c r="K335" s="1" t="s">
        <v>51</v>
      </c>
      <c r="L335" s="1"/>
      <c r="M335" s="1" t="s">
        <v>1732</v>
      </c>
      <c r="N335" s="1" t="s">
        <v>142</v>
      </c>
      <c r="O335" s="1" t="s">
        <v>143</v>
      </c>
      <c r="P335" s="2">
        <v>43810.8541550926</v>
      </c>
      <c r="Q335" s="1" t="s">
        <v>74</v>
      </c>
      <c r="R335" s="3">
        <v>43810.0</v>
      </c>
      <c r="S335" s="1"/>
      <c r="T335" s="1">
        <v>1100080.0</v>
      </c>
      <c r="U335" s="1" t="s">
        <v>1392</v>
      </c>
      <c r="V335" s="1" t="s">
        <v>448</v>
      </c>
      <c r="W335" s="1" t="s">
        <v>177</v>
      </c>
      <c r="X335" s="1"/>
      <c r="Y335" s="1"/>
      <c r="Z335" s="1" t="s">
        <v>147</v>
      </c>
      <c r="AA335" s="1" t="s">
        <v>1733</v>
      </c>
      <c r="AB335" s="1" t="str">
        <f>"***422282**"</f>
        <v>***422282**</v>
      </c>
      <c r="AC335" s="1"/>
      <c r="AD335" s="1" t="s">
        <v>62</v>
      </c>
      <c r="AE335" s="1"/>
      <c r="AF335" s="1">
        <v>-64.280556</v>
      </c>
      <c r="AG335" s="1">
        <v>-12.395</v>
      </c>
      <c r="AH335" s="1" t="s">
        <v>1734</v>
      </c>
      <c r="AI335" s="1"/>
      <c r="AJ335" s="1" t="s">
        <v>172</v>
      </c>
      <c r="AK335" s="1"/>
      <c r="AL335" s="1"/>
      <c r="AM335" s="1" t="s">
        <v>65</v>
      </c>
      <c r="AN335" s="1" t="s">
        <v>1395</v>
      </c>
      <c r="AO335" s="1"/>
      <c r="AP335" s="2">
        <v>43810.8613541667</v>
      </c>
      <c r="AQ335" s="1"/>
      <c r="AR335" s="1" t="s">
        <v>793</v>
      </c>
      <c r="AS335" s="1"/>
      <c r="AT335" s="2">
        <v>44269.931099537</v>
      </c>
    </row>
    <row r="336" ht="13.5" customHeight="1">
      <c r="A336" s="1"/>
      <c r="B336" s="1" t="s">
        <v>46</v>
      </c>
      <c r="C336" s="1" t="s">
        <v>47</v>
      </c>
      <c r="D336" s="1"/>
      <c r="E336" s="1" t="s">
        <v>1735</v>
      </c>
      <c r="F336" s="1"/>
      <c r="G336" s="1" t="s">
        <v>49</v>
      </c>
      <c r="H336" s="1" t="s">
        <v>93</v>
      </c>
      <c r="I336" s="1">
        <v>10000.0</v>
      </c>
      <c r="J336" s="1"/>
      <c r="K336" s="1" t="s">
        <v>51</v>
      </c>
      <c r="L336" s="1"/>
      <c r="M336" s="1" t="s">
        <v>1736</v>
      </c>
      <c r="N336" s="1" t="s">
        <v>142</v>
      </c>
      <c r="O336" s="1" t="s">
        <v>143</v>
      </c>
      <c r="P336" s="2">
        <v>43810.8412847222</v>
      </c>
      <c r="Q336" s="1" t="s">
        <v>74</v>
      </c>
      <c r="R336" s="3">
        <v>43801.0</v>
      </c>
      <c r="S336" s="1"/>
      <c r="T336" s="1">
        <v>1100080.0</v>
      </c>
      <c r="U336" s="1" t="s">
        <v>1392</v>
      </c>
      <c r="V336" s="1" t="s">
        <v>448</v>
      </c>
      <c r="W336" s="1" t="s">
        <v>177</v>
      </c>
      <c r="X336" s="1"/>
      <c r="Y336" s="1"/>
      <c r="Z336" s="1" t="s">
        <v>147</v>
      </c>
      <c r="AA336" s="1" t="s">
        <v>1737</v>
      </c>
      <c r="AB336" s="1" t="str">
        <f>"***222892**"</f>
        <v>***222892**</v>
      </c>
      <c r="AC336" s="1"/>
      <c r="AD336" s="1" t="s">
        <v>62</v>
      </c>
      <c r="AE336" s="1"/>
      <c r="AF336" s="1">
        <v>-64.191666</v>
      </c>
      <c r="AG336" s="1">
        <v>-12.42</v>
      </c>
      <c r="AH336" s="1" t="s">
        <v>1738</v>
      </c>
      <c r="AI336" s="1"/>
      <c r="AJ336" s="1" t="s">
        <v>172</v>
      </c>
      <c r="AK336" s="1"/>
      <c r="AL336" s="1"/>
      <c r="AM336" s="1" t="s">
        <v>65</v>
      </c>
      <c r="AN336" s="1" t="s">
        <v>1395</v>
      </c>
      <c r="AO336" s="1"/>
      <c r="AP336" s="2">
        <v>43810.8500115741</v>
      </c>
      <c r="AQ336" s="1"/>
      <c r="AR336" s="1" t="s">
        <v>793</v>
      </c>
      <c r="AS336" s="1"/>
      <c r="AT336" s="2">
        <v>44269.931099537</v>
      </c>
    </row>
    <row r="337" ht="13.5" customHeight="1">
      <c r="A337" s="1"/>
      <c r="B337" s="1" t="s">
        <v>46</v>
      </c>
      <c r="C337" s="1" t="s">
        <v>47</v>
      </c>
      <c r="D337" s="1"/>
      <c r="E337" s="1" t="s">
        <v>1739</v>
      </c>
      <c r="F337" s="1"/>
      <c r="G337" s="1" t="s">
        <v>49</v>
      </c>
      <c r="H337" s="1" t="s">
        <v>93</v>
      </c>
      <c r="I337" s="1">
        <v>5500.0</v>
      </c>
      <c r="J337" s="1"/>
      <c r="K337" s="1"/>
      <c r="L337" s="1"/>
      <c r="M337" s="1" t="s">
        <v>1740</v>
      </c>
      <c r="N337" s="1" t="s">
        <v>142</v>
      </c>
      <c r="O337" s="1" t="s">
        <v>143</v>
      </c>
      <c r="P337" s="2">
        <v>43810.8411458333</v>
      </c>
      <c r="Q337" s="1" t="s">
        <v>373</v>
      </c>
      <c r="R337" s="1"/>
      <c r="S337" s="1"/>
      <c r="T337" s="1">
        <v>3170057.0</v>
      </c>
      <c r="U337" s="1" t="s">
        <v>1741</v>
      </c>
      <c r="V337" s="1" t="s">
        <v>126</v>
      </c>
      <c r="W337" s="1" t="s">
        <v>59</v>
      </c>
      <c r="X337" s="1"/>
      <c r="Y337" s="1"/>
      <c r="Z337" s="1" t="s">
        <v>147</v>
      </c>
      <c r="AA337" s="1" t="s">
        <v>1742</v>
      </c>
      <c r="AB337" s="1" t="str">
        <f>"***500256**"</f>
        <v>***500256**</v>
      </c>
      <c r="AC337" s="1"/>
      <c r="AD337" s="1" t="s">
        <v>116</v>
      </c>
      <c r="AE337" s="1"/>
      <c r="AF337" s="1">
        <v>-42.00528</v>
      </c>
      <c r="AG337" s="1">
        <v>-19.638611</v>
      </c>
      <c r="AH337" s="1" t="s">
        <v>1743</v>
      </c>
      <c r="AI337" s="1"/>
      <c r="AJ337" s="1" t="s">
        <v>1744</v>
      </c>
      <c r="AK337" s="1"/>
      <c r="AL337" s="1"/>
      <c r="AM337" s="1" t="s">
        <v>65</v>
      </c>
      <c r="AN337" s="1" t="s">
        <v>1745</v>
      </c>
      <c r="AO337" s="1"/>
      <c r="AP337" s="2">
        <v>43810.849212963</v>
      </c>
      <c r="AQ337" s="1"/>
      <c r="AR337" s="1" t="s">
        <v>1746</v>
      </c>
      <c r="AS337" s="1" t="s">
        <v>1747</v>
      </c>
      <c r="AT337" s="2">
        <v>44269.931099537</v>
      </c>
    </row>
    <row r="338" ht="13.5" customHeight="1">
      <c r="A338" s="1"/>
      <c r="B338" s="1" t="s">
        <v>46</v>
      </c>
      <c r="C338" s="1" t="s">
        <v>47</v>
      </c>
      <c r="D338" s="1"/>
      <c r="E338" s="1" t="s">
        <v>1748</v>
      </c>
      <c r="F338" s="1"/>
      <c r="G338" s="1" t="s">
        <v>49</v>
      </c>
      <c r="H338" s="1" t="s">
        <v>50</v>
      </c>
      <c r="I338" s="1">
        <v>26000.0</v>
      </c>
      <c r="J338" s="1"/>
      <c r="K338" s="1" t="s">
        <v>51</v>
      </c>
      <c r="L338" s="1"/>
      <c r="M338" s="1" t="s">
        <v>1749</v>
      </c>
      <c r="N338" s="1" t="s">
        <v>283</v>
      </c>
      <c r="O338" s="1" t="s">
        <v>284</v>
      </c>
      <c r="P338" s="2">
        <v>43810.7924652778</v>
      </c>
      <c r="Q338" s="1" t="s">
        <v>74</v>
      </c>
      <c r="R338" s="1"/>
      <c r="S338" s="1"/>
      <c r="T338" s="1">
        <v>3304557.0</v>
      </c>
      <c r="U338" s="1" t="s">
        <v>286</v>
      </c>
      <c r="V338" s="1" t="s">
        <v>287</v>
      </c>
      <c r="W338" s="1" t="s">
        <v>288</v>
      </c>
      <c r="X338" s="1"/>
      <c r="Y338" s="1"/>
      <c r="Z338" s="1"/>
      <c r="AA338" s="1" t="s">
        <v>289</v>
      </c>
      <c r="AB338" s="1" t="str">
        <f>"33000167000101"</f>
        <v>33000167000101</v>
      </c>
      <c r="AC338" s="1"/>
      <c r="AD338" s="1" t="s">
        <v>149</v>
      </c>
      <c r="AE338" s="1"/>
      <c r="AF338" s="1">
        <v>-43.175003</v>
      </c>
      <c r="AG338" s="1">
        <v>-22.903055</v>
      </c>
      <c r="AH338" s="1" t="s">
        <v>290</v>
      </c>
      <c r="AI338" s="1"/>
      <c r="AJ338" s="1" t="s">
        <v>291</v>
      </c>
      <c r="AK338" s="1"/>
      <c r="AL338" s="1"/>
      <c r="AM338" s="1" t="s">
        <v>65</v>
      </c>
      <c r="AN338" s="1" t="s">
        <v>292</v>
      </c>
      <c r="AO338" s="1"/>
      <c r="AP338" s="2">
        <v>44193.5938888889</v>
      </c>
      <c r="AQ338" s="1"/>
      <c r="AR338" s="1" t="s">
        <v>293</v>
      </c>
      <c r="AS338" s="1" t="s">
        <v>1750</v>
      </c>
      <c r="AT338" s="2">
        <v>44269.931099537</v>
      </c>
    </row>
    <row r="339" ht="13.5" customHeight="1">
      <c r="A339" s="1"/>
      <c r="B339" s="1" t="s">
        <v>46</v>
      </c>
      <c r="C339" s="1" t="s">
        <v>47</v>
      </c>
      <c r="D339" s="1"/>
      <c r="E339" s="1" t="s">
        <v>1751</v>
      </c>
      <c r="F339" s="1"/>
      <c r="G339" s="1" t="s">
        <v>49</v>
      </c>
      <c r="H339" s="1" t="s">
        <v>93</v>
      </c>
      <c r="I339" s="1">
        <v>10000.0</v>
      </c>
      <c r="J339" s="1"/>
      <c r="K339" s="1" t="s">
        <v>140</v>
      </c>
      <c r="L339" s="1"/>
      <c r="M339" s="1" t="s">
        <v>1752</v>
      </c>
      <c r="N339" s="1" t="s">
        <v>72</v>
      </c>
      <c r="O339" s="1" t="s">
        <v>1364</v>
      </c>
      <c r="P339" s="2">
        <v>43810.7799305556</v>
      </c>
      <c r="Q339" s="1" t="s">
        <v>55</v>
      </c>
      <c r="R339" s="1"/>
      <c r="S339" s="1"/>
      <c r="T339" s="1">
        <v>2512903.0</v>
      </c>
      <c r="U339" s="1" t="s">
        <v>1753</v>
      </c>
      <c r="V339" s="1" t="s">
        <v>728</v>
      </c>
      <c r="W339" s="1" t="s">
        <v>59</v>
      </c>
      <c r="X339" s="1"/>
      <c r="Y339" s="1"/>
      <c r="Z339" s="1"/>
      <c r="AA339" s="1" t="s">
        <v>1754</v>
      </c>
      <c r="AB339" s="1" t="str">
        <f>"04706576000120"</f>
        <v>04706576000120</v>
      </c>
      <c r="AC339" s="1"/>
      <c r="AD339" s="1" t="s">
        <v>62</v>
      </c>
      <c r="AE339" s="1"/>
      <c r="AF339" s="1">
        <v>-35.160553</v>
      </c>
      <c r="AG339" s="1">
        <v>-6.723889</v>
      </c>
      <c r="AH339" s="1" t="s">
        <v>1755</v>
      </c>
      <c r="AI339" s="1"/>
      <c r="AJ339" s="1" t="s">
        <v>731</v>
      </c>
      <c r="AK339" s="1"/>
      <c r="AL339" s="1"/>
      <c r="AM339" s="1" t="s">
        <v>65</v>
      </c>
      <c r="AN339" s="1" t="s">
        <v>1551</v>
      </c>
      <c r="AO339" s="1"/>
      <c r="AP339" s="2">
        <v>43810.7916203704</v>
      </c>
      <c r="AQ339" s="1"/>
      <c r="AR339" s="1" t="s">
        <v>1756</v>
      </c>
      <c r="AS339" s="1" t="s">
        <v>1757</v>
      </c>
      <c r="AT339" s="2">
        <v>44269.931099537</v>
      </c>
    </row>
    <row r="340" ht="13.5" customHeight="1">
      <c r="A340" s="1"/>
      <c r="B340" s="1" t="s">
        <v>46</v>
      </c>
      <c r="C340" s="1" t="s">
        <v>47</v>
      </c>
      <c r="D340" s="1"/>
      <c r="E340" s="1" t="s">
        <v>1758</v>
      </c>
      <c r="F340" s="1"/>
      <c r="G340" s="1" t="s">
        <v>49</v>
      </c>
      <c r="H340" s="1" t="s">
        <v>50</v>
      </c>
      <c r="I340" s="1">
        <v>920.0</v>
      </c>
      <c r="J340" s="1"/>
      <c r="K340" s="1" t="s">
        <v>51</v>
      </c>
      <c r="L340" s="1"/>
      <c r="M340" s="1" t="s">
        <v>1759</v>
      </c>
      <c r="N340" s="1" t="s">
        <v>53</v>
      </c>
      <c r="O340" s="1" t="s">
        <v>54</v>
      </c>
      <c r="P340" s="2">
        <v>43810.7686921296</v>
      </c>
      <c r="Q340" s="1" t="s">
        <v>373</v>
      </c>
      <c r="R340" s="1"/>
      <c r="S340" s="1"/>
      <c r="T340" s="1">
        <v>2613404.0</v>
      </c>
      <c r="U340" s="1" t="s">
        <v>1760</v>
      </c>
      <c r="V340" s="1" t="s">
        <v>1037</v>
      </c>
      <c r="W340" s="1" t="s">
        <v>288</v>
      </c>
      <c r="X340" s="1"/>
      <c r="Y340" s="1"/>
      <c r="Z340" s="1" t="s">
        <v>60</v>
      </c>
      <c r="AA340" s="1" t="s">
        <v>1761</v>
      </c>
      <c r="AB340" s="1" t="str">
        <f>"***426734**"</f>
        <v>***426734**</v>
      </c>
      <c r="AC340" s="1"/>
      <c r="AD340" s="1" t="s">
        <v>62</v>
      </c>
      <c r="AE340" s="1"/>
      <c r="AF340" s="1">
        <v>-35.276947</v>
      </c>
      <c r="AG340" s="1">
        <v>-8.729445</v>
      </c>
      <c r="AH340" s="1" t="s">
        <v>1762</v>
      </c>
      <c r="AI340" s="1"/>
      <c r="AJ340" s="1" t="s">
        <v>1040</v>
      </c>
      <c r="AK340" s="1"/>
      <c r="AL340" s="1"/>
      <c r="AM340" s="1" t="s">
        <v>65</v>
      </c>
      <c r="AN340" s="1" t="s">
        <v>1763</v>
      </c>
      <c r="AO340" s="1"/>
      <c r="AP340" s="2">
        <v>43810.8198148148</v>
      </c>
      <c r="AQ340" s="1"/>
      <c r="AR340" s="1" t="s">
        <v>360</v>
      </c>
      <c r="AS340" s="1" t="s">
        <v>1764</v>
      </c>
      <c r="AT340" s="2">
        <v>44269.931099537</v>
      </c>
    </row>
    <row r="341" ht="13.5" customHeight="1">
      <c r="A341" s="1"/>
      <c r="B341" s="1" t="s">
        <v>46</v>
      </c>
      <c r="C341" s="1" t="s">
        <v>47</v>
      </c>
      <c r="D341" s="1"/>
      <c r="E341" s="1" t="s">
        <v>1765</v>
      </c>
      <c r="F341" s="1"/>
      <c r="G341" s="1" t="s">
        <v>49</v>
      </c>
      <c r="H341" s="1" t="s">
        <v>50</v>
      </c>
      <c r="I341" s="1">
        <v>102200.0</v>
      </c>
      <c r="J341" s="1"/>
      <c r="K341" s="1" t="s">
        <v>51</v>
      </c>
      <c r="L341" s="1"/>
      <c r="M341" s="1" t="s">
        <v>1766</v>
      </c>
      <c r="N341" s="1" t="s">
        <v>53</v>
      </c>
      <c r="O341" s="1" t="s">
        <v>54</v>
      </c>
      <c r="P341" s="2">
        <v>43810.7440509259</v>
      </c>
      <c r="Q341" s="1" t="s">
        <v>373</v>
      </c>
      <c r="R341" s="1"/>
      <c r="S341" s="1"/>
      <c r="T341" s="1">
        <v>1505106.0</v>
      </c>
      <c r="U341" s="1" t="s">
        <v>762</v>
      </c>
      <c r="V341" s="1" t="s">
        <v>193</v>
      </c>
      <c r="W341" s="1" t="s">
        <v>177</v>
      </c>
      <c r="X341" s="1"/>
      <c r="Y341" s="1"/>
      <c r="Z341" s="1" t="s">
        <v>60</v>
      </c>
      <c r="AA341" s="1" t="s">
        <v>1767</v>
      </c>
      <c r="AB341" s="1" t="str">
        <f>"***683382**"</f>
        <v>***683382**</v>
      </c>
      <c r="AC341" s="1"/>
      <c r="AD341" s="1" t="s">
        <v>149</v>
      </c>
      <c r="AE341" s="1"/>
      <c r="AF341" s="1">
        <v>-55.512501</v>
      </c>
      <c r="AG341" s="1">
        <v>-1.919445</v>
      </c>
      <c r="AH341" s="1" t="s">
        <v>1768</v>
      </c>
      <c r="AI341" s="1"/>
      <c r="AJ341" s="1" t="s">
        <v>765</v>
      </c>
      <c r="AK341" s="1"/>
      <c r="AL341" s="1"/>
      <c r="AM341" s="1" t="s">
        <v>65</v>
      </c>
      <c r="AN341" s="1" t="s">
        <v>766</v>
      </c>
      <c r="AO341" s="1"/>
      <c r="AP341" s="2">
        <v>43810.7658564815</v>
      </c>
      <c r="AQ341" s="1"/>
      <c r="AR341" s="1" t="s">
        <v>1096</v>
      </c>
      <c r="AS341" s="1"/>
      <c r="AT341" s="2">
        <v>44269.931099537</v>
      </c>
    </row>
    <row r="342" ht="13.5" customHeight="1">
      <c r="A342" s="1">
        <v>2035466.0</v>
      </c>
      <c r="B342" s="1" t="s">
        <v>67</v>
      </c>
      <c r="C342" s="1" t="s">
        <v>89</v>
      </c>
      <c r="D342" s="1" t="s">
        <v>67</v>
      </c>
      <c r="E342" s="1" t="s">
        <v>1769</v>
      </c>
      <c r="F342" s="1"/>
      <c r="G342" s="1" t="s">
        <v>70</v>
      </c>
      <c r="H342" s="1" t="s">
        <v>93</v>
      </c>
      <c r="I342" s="1">
        <v>10000.0</v>
      </c>
      <c r="J342" s="1"/>
      <c r="K342" s="1"/>
      <c r="L342" s="1" t="s">
        <v>106</v>
      </c>
      <c r="M342" s="1" t="s">
        <v>1770</v>
      </c>
      <c r="N342" s="1" t="s">
        <v>95</v>
      </c>
      <c r="O342" s="1"/>
      <c r="P342" s="2">
        <v>43810.7083333333</v>
      </c>
      <c r="Q342" s="1" t="s">
        <v>55</v>
      </c>
      <c r="R342" s="3">
        <v>44056.0</v>
      </c>
      <c r="S342" s="1"/>
      <c r="T342" s="1">
        <v>2202026.0</v>
      </c>
      <c r="U342" s="1" t="s">
        <v>1771</v>
      </c>
      <c r="V342" s="1" t="s">
        <v>895</v>
      </c>
      <c r="W342" s="1" t="s">
        <v>113</v>
      </c>
      <c r="X342" s="1"/>
      <c r="Y342" s="1" t="str">
        <f>"02007000091202009"</f>
        <v>02007000091202009</v>
      </c>
      <c r="Z342" s="1" t="s">
        <v>1267</v>
      </c>
      <c r="AA342" s="1" t="s">
        <v>1772</v>
      </c>
      <c r="AB342" s="1" t="str">
        <f>"***068793**"</f>
        <v>***068793**</v>
      </c>
      <c r="AC342" s="1"/>
      <c r="AD342" s="1" t="s">
        <v>116</v>
      </c>
      <c r="AE342" s="1"/>
      <c r="AF342" s="1">
        <v>0.0</v>
      </c>
      <c r="AG342" s="1">
        <v>0.0</v>
      </c>
      <c r="AH342" s="1" t="s">
        <v>1269</v>
      </c>
      <c r="AI342" s="1"/>
      <c r="AJ342" s="1"/>
      <c r="AK342" s="1"/>
      <c r="AL342" s="1" t="s">
        <v>118</v>
      </c>
      <c r="AM342" s="1"/>
      <c r="AN342" s="1"/>
      <c r="AO342" s="2">
        <v>43906.4183564815</v>
      </c>
      <c r="AP342" s="2">
        <v>44067.4861805556</v>
      </c>
      <c r="AQ342" s="1" t="s">
        <v>89</v>
      </c>
      <c r="AR342" s="1" t="s">
        <v>1301</v>
      </c>
      <c r="AS342" s="1"/>
      <c r="AT342" s="2">
        <v>44269.931099537</v>
      </c>
    </row>
    <row r="343" ht="13.5" customHeight="1">
      <c r="A343" s="1">
        <v>2037956.0</v>
      </c>
      <c r="B343" s="1" t="s">
        <v>67</v>
      </c>
      <c r="C343" s="1" t="s">
        <v>68</v>
      </c>
      <c r="D343" s="1" t="s">
        <v>46</v>
      </c>
      <c r="E343" s="1" t="s">
        <v>1773</v>
      </c>
      <c r="F343" s="1"/>
      <c r="G343" s="1" t="s">
        <v>70</v>
      </c>
      <c r="H343" s="1" t="s">
        <v>50</v>
      </c>
      <c r="I343" s="1">
        <v>26000.0</v>
      </c>
      <c r="J343" s="1"/>
      <c r="K343" s="1"/>
      <c r="L343" s="1" t="s">
        <v>291</v>
      </c>
      <c r="M343" s="1" t="s">
        <v>1774</v>
      </c>
      <c r="N343" s="1" t="s">
        <v>283</v>
      </c>
      <c r="O343" s="1" t="s">
        <v>284</v>
      </c>
      <c r="P343" s="2">
        <v>43810.7083333333</v>
      </c>
      <c r="Q343" s="1" t="s">
        <v>74</v>
      </c>
      <c r="R343" s="1"/>
      <c r="S343" s="1"/>
      <c r="T343" s="1">
        <v>3304557.0</v>
      </c>
      <c r="U343" s="1" t="s">
        <v>286</v>
      </c>
      <c r="V343" s="1" t="s">
        <v>287</v>
      </c>
      <c r="W343" s="1" t="s">
        <v>288</v>
      </c>
      <c r="X343" s="1"/>
      <c r="Y343" s="1" t="str">
        <f>"02022005093201954"</f>
        <v>02022005093201954</v>
      </c>
      <c r="Z343" s="1" t="s">
        <v>128</v>
      </c>
      <c r="AA343" s="1" t="s">
        <v>289</v>
      </c>
      <c r="AB343" s="1" t="str">
        <f>"33000167000101"</f>
        <v>33000167000101</v>
      </c>
      <c r="AC343" s="1"/>
      <c r="AD343" s="1" t="s">
        <v>116</v>
      </c>
      <c r="AE343" s="1"/>
      <c r="AF343" s="1">
        <v>-43.175</v>
      </c>
      <c r="AG343" s="1">
        <v>-22.903056</v>
      </c>
      <c r="AH343" s="1" t="s">
        <v>290</v>
      </c>
      <c r="AI343" s="1"/>
      <c r="AJ343" s="1" t="s">
        <v>291</v>
      </c>
      <c r="AK343" s="1" t="s">
        <v>306</v>
      </c>
      <c r="AL343" s="1" t="s">
        <v>79</v>
      </c>
      <c r="AM343" s="1" t="s">
        <v>65</v>
      </c>
      <c r="AN343" s="1" t="s">
        <v>292</v>
      </c>
      <c r="AO343" s="2">
        <v>44015.0</v>
      </c>
      <c r="AP343" s="2">
        <v>44194.6077430556</v>
      </c>
      <c r="AQ343" s="1" t="s">
        <v>80</v>
      </c>
      <c r="AR343" s="1" t="s">
        <v>1775</v>
      </c>
      <c r="AS343" s="1" t="s">
        <v>1776</v>
      </c>
      <c r="AT343" s="2">
        <v>44269.931099537</v>
      </c>
    </row>
    <row r="344" ht="13.5" customHeight="1">
      <c r="A344" s="1">
        <v>2039751.0</v>
      </c>
      <c r="B344" s="1" t="s">
        <v>67</v>
      </c>
      <c r="C344" s="1" t="s">
        <v>68</v>
      </c>
      <c r="D344" s="1" t="s">
        <v>46</v>
      </c>
      <c r="E344" s="1" t="s">
        <v>1777</v>
      </c>
      <c r="F344" s="1"/>
      <c r="G344" s="1" t="s">
        <v>70</v>
      </c>
      <c r="H344" s="1" t="s">
        <v>93</v>
      </c>
      <c r="I344" s="1">
        <v>5000.0</v>
      </c>
      <c r="J344" s="1"/>
      <c r="K344" s="1"/>
      <c r="L344" s="1" t="s">
        <v>898</v>
      </c>
      <c r="M344" s="1" t="s">
        <v>1778</v>
      </c>
      <c r="N344" s="1" t="s">
        <v>142</v>
      </c>
      <c r="O344" s="1" t="s">
        <v>143</v>
      </c>
      <c r="P344" s="2">
        <v>43810.7083333333</v>
      </c>
      <c r="Q344" s="1" t="s">
        <v>373</v>
      </c>
      <c r="R344" s="3">
        <v>43810.0</v>
      </c>
      <c r="S344" s="1"/>
      <c r="T344" s="1">
        <v>2202026.0</v>
      </c>
      <c r="U344" s="1" t="s">
        <v>1771</v>
      </c>
      <c r="V344" s="1" t="s">
        <v>895</v>
      </c>
      <c r="W344" s="1" t="s">
        <v>113</v>
      </c>
      <c r="X344" s="1"/>
      <c r="Y344" s="1" t="str">
        <f>"02020001326202001"</f>
        <v>02020001326202001</v>
      </c>
      <c r="Z344" s="1" t="s">
        <v>147</v>
      </c>
      <c r="AA344" s="1" t="s">
        <v>1779</v>
      </c>
      <c r="AB344" s="1" t="str">
        <f>"***787268**"</f>
        <v>***787268**</v>
      </c>
      <c r="AC344" s="1"/>
      <c r="AD344" s="1"/>
      <c r="AE344" s="1"/>
      <c r="AF344" s="1">
        <v>-41.091667</v>
      </c>
      <c r="AG344" s="1">
        <v>-5.314445</v>
      </c>
      <c r="AH344" s="1" t="s">
        <v>1780</v>
      </c>
      <c r="AI344" s="1"/>
      <c r="AJ344" s="1" t="s">
        <v>898</v>
      </c>
      <c r="AK344" s="1"/>
      <c r="AL344" s="1" t="s">
        <v>79</v>
      </c>
      <c r="AM344" s="1" t="s">
        <v>65</v>
      </c>
      <c r="AN344" s="1" t="s">
        <v>1781</v>
      </c>
      <c r="AO344" s="2">
        <v>44071.0</v>
      </c>
      <c r="AP344" s="2">
        <v>44071.5617939815</v>
      </c>
      <c r="AQ344" s="1" t="s">
        <v>80</v>
      </c>
      <c r="AR344" s="1" t="s">
        <v>1782</v>
      </c>
      <c r="AS344" s="1"/>
      <c r="AT344" s="2">
        <v>44269.931099537</v>
      </c>
    </row>
    <row r="345" ht="13.5" customHeight="1">
      <c r="A345" s="1">
        <v>2037955.0</v>
      </c>
      <c r="B345" s="1" t="s">
        <v>67</v>
      </c>
      <c r="C345" s="1" t="s">
        <v>68</v>
      </c>
      <c r="D345" s="1" t="s">
        <v>46</v>
      </c>
      <c r="E345" s="1" t="s">
        <v>1783</v>
      </c>
      <c r="F345" s="1"/>
      <c r="G345" s="1" t="s">
        <v>70</v>
      </c>
      <c r="H345" s="1" t="s">
        <v>50</v>
      </c>
      <c r="I345" s="1">
        <v>26000.0</v>
      </c>
      <c r="J345" s="1"/>
      <c r="K345" s="1"/>
      <c r="L345" s="1" t="s">
        <v>291</v>
      </c>
      <c r="M345" s="1" t="s">
        <v>1784</v>
      </c>
      <c r="N345" s="1" t="s">
        <v>283</v>
      </c>
      <c r="O345" s="1" t="s">
        <v>284</v>
      </c>
      <c r="P345" s="2">
        <v>43810.6666666667</v>
      </c>
      <c r="Q345" s="1" t="s">
        <v>74</v>
      </c>
      <c r="R345" s="1"/>
      <c r="S345" s="1"/>
      <c r="T345" s="1">
        <v>3304557.0</v>
      </c>
      <c r="U345" s="1" t="s">
        <v>286</v>
      </c>
      <c r="V345" s="1" t="s">
        <v>287</v>
      </c>
      <c r="W345" s="1"/>
      <c r="X345" s="1"/>
      <c r="Y345" s="1"/>
      <c r="Z345" s="1" t="s">
        <v>128</v>
      </c>
      <c r="AA345" s="1" t="s">
        <v>289</v>
      </c>
      <c r="AB345" s="1" t="str">
        <f>"33000167000101"</f>
        <v>33000167000101</v>
      </c>
      <c r="AC345" s="1"/>
      <c r="AD345" s="1"/>
      <c r="AE345" s="1"/>
      <c r="AF345" s="1">
        <v>-43.171391</v>
      </c>
      <c r="AG345" s="1">
        <v>-22.904999</v>
      </c>
      <c r="AH345" s="1" t="s">
        <v>290</v>
      </c>
      <c r="AI345" s="1"/>
      <c r="AJ345" s="1" t="s">
        <v>291</v>
      </c>
      <c r="AK345" s="1"/>
      <c r="AL345" s="1" t="s">
        <v>79</v>
      </c>
      <c r="AM345" s="1" t="s">
        <v>65</v>
      </c>
      <c r="AN345" s="1" t="s">
        <v>292</v>
      </c>
      <c r="AO345" s="2">
        <v>44015.0</v>
      </c>
      <c r="AP345" s="2">
        <v>44015.5339814815</v>
      </c>
      <c r="AQ345" s="1" t="s">
        <v>80</v>
      </c>
      <c r="AR345" s="1" t="s">
        <v>298</v>
      </c>
      <c r="AS345" s="1" t="s">
        <v>1750</v>
      </c>
      <c r="AT345" s="2">
        <v>44269.931099537</v>
      </c>
    </row>
    <row r="346" ht="13.5" customHeight="1">
      <c r="A346" s="1">
        <v>2038805.0</v>
      </c>
      <c r="B346" s="1" t="s">
        <v>67</v>
      </c>
      <c r="C346" s="1" t="s">
        <v>68</v>
      </c>
      <c r="D346" s="1" t="s">
        <v>46</v>
      </c>
      <c r="E346" s="1" t="s">
        <v>1785</v>
      </c>
      <c r="F346" s="1"/>
      <c r="G346" s="1" t="s">
        <v>70</v>
      </c>
      <c r="H346" s="1" t="s">
        <v>93</v>
      </c>
      <c r="I346" s="1">
        <v>22000.0</v>
      </c>
      <c r="J346" s="1"/>
      <c r="K346" s="1"/>
      <c r="L346" s="1" t="s">
        <v>587</v>
      </c>
      <c r="M346" s="1" t="s">
        <v>1786</v>
      </c>
      <c r="N346" s="1" t="s">
        <v>95</v>
      </c>
      <c r="O346" s="1" t="s">
        <v>96</v>
      </c>
      <c r="P346" s="2">
        <v>43810.6666666667</v>
      </c>
      <c r="Q346" s="1" t="s">
        <v>74</v>
      </c>
      <c r="R346" s="1"/>
      <c r="S346" s="1"/>
      <c r="T346" s="1">
        <v>3169703.0</v>
      </c>
      <c r="U346" s="1" t="s">
        <v>589</v>
      </c>
      <c r="V346" s="1" t="s">
        <v>126</v>
      </c>
      <c r="W346" s="1" t="s">
        <v>127</v>
      </c>
      <c r="X346" s="1"/>
      <c r="Y346" s="1" t="str">
        <f>"02566000012202016"</f>
        <v>02566000012202016</v>
      </c>
      <c r="Z346" s="1" t="s">
        <v>98</v>
      </c>
      <c r="AA346" s="1" t="s">
        <v>1787</v>
      </c>
      <c r="AB346" s="1" t="str">
        <f>"***633328**"</f>
        <v>***633328**</v>
      </c>
      <c r="AC346" s="1"/>
      <c r="AD346" s="1"/>
      <c r="AE346" s="1"/>
      <c r="AF346" s="1">
        <v>-42.735558</v>
      </c>
      <c r="AG346" s="1">
        <v>-17.281389</v>
      </c>
      <c r="AH346" s="1" t="s">
        <v>1788</v>
      </c>
      <c r="AI346" s="1"/>
      <c r="AJ346" s="1" t="s">
        <v>587</v>
      </c>
      <c r="AK346" s="1"/>
      <c r="AL346" s="1" t="s">
        <v>79</v>
      </c>
      <c r="AM346" s="1" t="s">
        <v>65</v>
      </c>
      <c r="AN346" s="1" t="s">
        <v>592</v>
      </c>
      <c r="AO346" s="2">
        <v>44046.0</v>
      </c>
      <c r="AP346" s="2">
        <v>44046.672037037</v>
      </c>
      <c r="AQ346" s="1" t="s">
        <v>80</v>
      </c>
      <c r="AR346" s="1" t="s">
        <v>250</v>
      </c>
      <c r="AS346" s="1"/>
      <c r="AT346" s="2">
        <v>44269.931099537</v>
      </c>
    </row>
    <row r="347" ht="13.5" customHeight="1">
      <c r="A347" s="1"/>
      <c r="B347" s="1" t="s">
        <v>46</v>
      </c>
      <c r="C347" s="1" t="s">
        <v>47</v>
      </c>
      <c r="D347" s="1"/>
      <c r="E347" s="1" t="s">
        <v>1789</v>
      </c>
      <c r="F347" s="1"/>
      <c r="G347" s="1" t="s">
        <v>49</v>
      </c>
      <c r="H347" s="1" t="s">
        <v>93</v>
      </c>
      <c r="I347" s="1">
        <v>14000.0</v>
      </c>
      <c r="J347" s="1"/>
      <c r="K347" s="1"/>
      <c r="L347" s="1"/>
      <c r="M347" s="1" t="s">
        <v>1790</v>
      </c>
      <c r="N347" s="1" t="s">
        <v>142</v>
      </c>
      <c r="O347" s="1" t="s">
        <v>143</v>
      </c>
      <c r="P347" s="2">
        <v>43810.6384259259</v>
      </c>
      <c r="Q347" s="1" t="s">
        <v>373</v>
      </c>
      <c r="R347" s="1"/>
      <c r="S347" s="1"/>
      <c r="T347" s="1">
        <v>3170578.0</v>
      </c>
      <c r="U347" s="1" t="s">
        <v>1791</v>
      </c>
      <c r="V347" s="1" t="s">
        <v>126</v>
      </c>
      <c r="W347" s="1" t="s">
        <v>59</v>
      </c>
      <c r="X347" s="1"/>
      <c r="Y347" s="1"/>
      <c r="Z347" s="1" t="s">
        <v>147</v>
      </c>
      <c r="AA347" s="1" t="s">
        <v>1792</v>
      </c>
      <c r="AB347" s="1" t="str">
        <f>"***392076**"</f>
        <v>***392076**</v>
      </c>
      <c r="AC347" s="1"/>
      <c r="AD347" s="1" t="s">
        <v>116</v>
      </c>
      <c r="AE347" s="1"/>
      <c r="AF347" s="1">
        <v>-42.320553</v>
      </c>
      <c r="AG347" s="1">
        <v>-19.584723</v>
      </c>
      <c r="AH347" s="1" t="s">
        <v>1793</v>
      </c>
      <c r="AI347" s="1"/>
      <c r="AJ347" s="1" t="s">
        <v>1744</v>
      </c>
      <c r="AK347" s="1"/>
      <c r="AL347" s="1"/>
      <c r="AM347" s="1" t="s">
        <v>65</v>
      </c>
      <c r="AN347" s="1" t="s">
        <v>1745</v>
      </c>
      <c r="AO347" s="1"/>
      <c r="AP347" s="2">
        <v>43810.6472916667</v>
      </c>
      <c r="AQ347" s="1"/>
      <c r="AR347" s="1" t="s">
        <v>1794</v>
      </c>
      <c r="AS347" s="1" t="s">
        <v>1747</v>
      </c>
      <c r="AT347" s="2">
        <v>44269.931099537</v>
      </c>
    </row>
    <row r="348" ht="13.5" customHeight="1">
      <c r="A348" s="1"/>
      <c r="B348" s="1" t="s">
        <v>46</v>
      </c>
      <c r="C348" s="1" t="s">
        <v>47</v>
      </c>
      <c r="D348" s="1"/>
      <c r="E348" s="1" t="s">
        <v>1795</v>
      </c>
      <c r="F348" s="1"/>
      <c r="G348" s="1" t="s">
        <v>49</v>
      </c>
      <c r="H348" s="1" t="s">
        <v>93</v>
      </c>
      <c r="I348" s="1">
        <v>1200.0</v>
      </c>
      <c r="J348" s="1"/>
      <c r="K348" s="1" t="s">
        <v>51</v>
      </c>
      <c r="L348" s="1"/>
      <c r="M348" s="1" t="s">
        <v>1796</v>
      </c>
      <c r="N348" s="1" t="s">
        <v>123</v>
      </c>
      <c r="O348" s="1" t="s">
        <v>73</v>
      </c>
      <c r="P348" s="2">
        <v>43810.6353935185</v>
      </c>
      <c r="Q348" s="1" t="s">
        <v>74</v>
      </c>
      <c r="R348" s="1"/>
      <c r="S348" s="1"/>
      <c r="T348" s="1">
        <v>5211800.0</v>
      </c>
      <c r="U348" s="1" t="s">
        <v>1797</v>
      </c>
      <c r="V348" s="1" t="s">
        <v>375</v>
      </c>
      <c r="W348" s="1" t="s">
        <v>127</v>
      </c>
      <c r="X348" s="1"/>
      <c r="Y348" s="1"/>
      <c r="Z348" s="1" t="s">
        <v>76</v>
      </c>
      <c r="AA348" s="1" t="s">
        <v>1798</v>
      </c>
      <c r="AB348" s="1" t="str">
        <f>"04836260000152"</f>
        <v>04836260000152</v>
      </c>
      <c r="AC348" s="1"/>
      <c r="AD348" s="1" t="s">
        <v>62</v>
      </c>
      <c r="AE348" s="1"/>
      <c r="AF348" s="1">
        <v>-49.324165</v>
      </c>
      <c r="AG348" s="1">
        <v>-15.762777</v>
      </c>
      <c r="AH348" s="1" t="s">
        <v>1799</v>
      </c>
      <c r="AI348" s="1"/>
      <c r="AJ348" s="1" t="s">
        <v>371</v>
      </c>
      <c r="AK348" s="1"/>
      <c r="AL348" s="1"/>
      <c r="AM348" s="1" t="s">
        <v>65</v>
      </c>
      <c r="AN348" s="1" t="s">
        <v>378</v>
      </c>
      <c r="AO348" s="1"/>
      <c r="AP348" s="2">
        <v>43810.6441782407</v>
      </c>
      <c r="AQ348" s="1"/>
      <c r="AR348" s="1" t="s">
        <v>153</v>
      </c>
      <c r="AS348" s="1" t="s">
        <v>1800</v>
      </c>
      <c r="AT348" s="2">
        <v>44269.931099537</v>
      </c>
    </row>
    <row r="349" ht="13.5" customHeight="1">
      <c r="A349" s="1"/>
      <c r="B349" s="1" t="s">
        <v>46</v>
      </c>
      <c r="C349" s="1" t="s">
        <v>657</v>
      </c>
      <c r="D349" s="1" t="s">
        <v>67</v>
      </c>
      <c r="E349" s="1" t="s">
        <v>1801</v>
      </c>
      <c r="F349" s="1"/>
      <c r="G349" s="1" t="s">
        <v>49</v>
      </c>
      <c r="H349" s="1" t="s">
        <v>93</v>
      </c>
      <c r="I349" s="1">
        <v>34301.0</v>
      </c>
      <c r="J349" s="1"/>
      <c r="K349" s="1"/>
      <c r="L349" s="1"/>
      <c r="M349" s="1" t="s">
        <v>1802</v>
      </c>
      <c r="N349" s="1" t="s">
        <v>142</v>
      </c>
      <c r="O349" s="1" t="s">
        <v>143</v>
      </c>
      <c r="P349" s="2">
        <v>43810.6318634259</v>
      </c>
      <c r="Q349" s="1" t="s">
        <v>373</v>
      </c>
      <c r="R349" s="1"/>
      <c r="S349" s="1"/>
      <c r="T349" s="1">
        <v>2921302.0</v>
      </c>
      <c r="U349" s="1" t="s">
        <v>1803</v>
      </c>
      <c r="V349" s="1" t="s">
        <v>632</v>
      </c>
      <c r="W349" s="1" t="s">
        <v>113</v>
      </c>
      <c r="X349" s="1"/>
      <c r="Y349" s="1"/>
      <c r="Z349" s="1" t="s">
        <v>147</v>
      </c>
      <c r="AA349" s="1" t="s">
        <v>1804</v>
      </c>
      <c r="AB349" s="1" t="str">
        <f>"***709805**"</f>
        <v>***709805**</v>
      </c>
      <c r="AC349" s="1"/>
      <c r="AD349" s="1" t="s">
        <v>149</v>
      </c>
      <c r="AE349" s="1"/>
      <c r="AF349" s="1">
        <v>-39.698891</v>
      </c>
      <c r="AG349" s="1">
        <v>-12.8575</v>
      </c>
      <c r="AH349" s="1" t="s">
        <v>1805</v>
      </c>
      <c r="AI349" s="1"/>
      <c r="AJ349" s="1" t="s">
        <v>628</v>
      </c>
      <c r="AK349" s="1"/>
      <c r="AL349" s="1"/>
      <c r="AM349" s="1" t="s">
        <v>65</v>
      </c>
      <c r="AN349" s="1" t="s">
        <v>152</v>
      </c>
      <c r="AO349" s="1"/>
      <c r="AP349" s="2">
        <v>43935.872337963</v>
      </c>
      <c r="AQ349" s="1"/>
      <c r="AR349" s="1" t="s">
        <v>280</v>
      </c>
      <c r="AS349" s="1"/>
      <c r="AT349" s="2">
        <v>44269.931099537</v>
      </c>
    </row>
    <row r="350" ht="13.5" customHeight="1">
      <c r="A350" s="1"/>
      <c r="B350" s="1" t="s">
        <v>46</v>
      </c>
      <c r="C350" s="1" t="s">
        <v>47</v>
      </c>
      <c r="D350" s="1"/>
      <c r="E350" s="1" t="s">
        <v>1806</v>
      </c>
      <c r="F350" s="1"/>
      <c r="G350" s="1" t="s">
        <v>49</v>
      </c>
      <c r="H350" s="1" t="s">
        <v>93</v>
      </c>
      <c r="I350" s="1">
        <v>500.0</v>
      </c>
      <c r="J350" s="1"/>
      <c r="K350" s="1" t="s">
        <v>51</v>
      </c>
      <c r="L350" s="1"/>
      <c r="M350" s="1" t="s">
        <v>1807</v>
      </c>
      <c r="N350" s="1" t="s">
        <v>212</v>
      </c>
      <c r="O350" s="1" t="s">
        <v>213</v>
      </c>
      <c r="P350" s="2">
        <v>43810.6284143519</v>
      </c>
      <c r="Q350" s="1" t="s">
        <v>55</v>
      </c>
      <c r="R350" s="1"/>
      <c r="S350" s="1"/>
      <c r="T350" s="1">
        <v>2601102.0</v>
      </c>
      <c r="U350" s="1" t="s">
        <v>1276</v>
      </c>
      <c r="V350" s="1" t="s">
        <v>1037</v>
      </c>
      <c r="W350" s="1" t="s">
        <v>113</v>
      </c>
      <c r="X350" s="1"/>
      <c r="Y350" s="1"/>
      <c r="Z350" s="1" t="s">
        <v>215</v>
      </c>
      <c r="AA350" s="1" t="s">
        <v>1808</v>
      </c>
      <c r="AB350" s="1" t="str">
        <f>"10241975000165"</f>
        <v>10241975000165</v>
      </c>
      <c r="AC350" s="1"/>
      <c r="AD350" s="1" t="s">
        <v>149</v>
      </c>
      <c r="AE350" s="1"/>
      <c r="AF350" s="1">
        <v>-40.50639</v>
      </c>
      <c r="AG350" s="1">
        <v>-7.612222</v>
      </c>
      <c r="AH350" s="1" t="s">
        <v>1809</v>
      </c>
      <c r="AI350" s="1"/>
      <c r="AJ350" s="1" t="s">
        <v>1040</v>
      </c>
      <c r="AK350" s="1"/>
      <c r="AL350" s="1"/>
      <c r="AM350" s="1" t="s">
        <v>65</v>
      </c>
      <c r="AN350" s="1" t="s">
        <v>1279</v>
      </c>
      <c r="AO350" s="1"/>
      <c r="AP350" s="2">
        <v>43810.6440856482</v>
      </c>
      <c r="AQ350" s="1"/>
      <c r="AR350" s="1" t="s">
        <v>1280</v>
      </c>
      <c r="AS350" s="1"/>
      <c r="AT350" s="2">
        <v>44269.931099537</v>
      </c>
    </row>
    <row r="351" ht="13.5" customHeight="1">
      <c r="A351" s="1"/>
      <c r="B351" s="1" t="s">
        <v>46</v>
      </c>
      <c r="C351" s="1" t="s">
        <v>47</v>
      </c>
      <c r="D351" s="1"/>
      <c r="E351" s="1" t="s">
        <v>1810</v>
      </c>
      <c r="F351" s="1"/>
      <c r="G351" s="1" t="s">
        <v>49</v>
      </c>
      <c r="H351" s="1" t="s">
        <v>50</v>
      </c>
      <c r="I351" s="1">
        <v>5500.0</v>
      </c>
      <c r="J351" s="1"/>
      <c r="K351" s="1" t="s">
        <v>140</v>
      </c>
      <c r="L351" s="1"/>
      <c r="M351" s="1" t="s">
        <v>1811</v>
      </c>
      <c r="N351" s="1" t="s">
        <v>72</v>
      </c>
      <c r="O351" s="1" t="s">
        <v>1364</v>
      </c>
      <c r="P351" s="2">
        <v>43810.6279050926</v>
      </c>
      <c r="Q351" s="1" t="s">
        <v>373</v>
      </c>
      <c r="R351" s="1"/>
      <c r="S351" s="1"/>
      <c r="T351" s="1">
        <v>4322400.0</v>
      </c>
      <c r="U351" s="1" t="s">
        <v>1812</v>
      </c>
      <c r="V351" s="1" t="s">
        <v>145</v>
      </c>
      <c r="W351" s="1" t="s">
        <v>146</v>
      </c>
      <c r="X351" s="1"/>
      <c r="Y351" s="1"/>
      <c r="Z351" s="1"/>
      <c r="AA351" s="1" t="s">
        <v>1813</v>
      </c>
      <c r="AB351" s="1" t="str">
        <f>"***647100**"</f>
        <v>***647100**</v>
      </c>
      <c r="AC351" s="1"/>
      <c r="AD351" s="1" t="s">
        <v>149</v>
      </c>
      <c r="AE351" s="1"/>
      <c r="AF351" s="1">
        <v>-57.116665</v>
      </c>
      <c r="AG351" s="1">
        <v>-30.091946</v>
      </c>
      <c r="AH351" s="1" t="s">
        <v>1814</v>
      </c>
      <c r="AI351" s="1"/>
      <c r="AJ351" s="1" t="s">
        <v>151</v>
      </c>
      <c r="AK351" s="1"/>
      <c r="AL351" s="1"/>
      <c r="AM351" s="1" t="s">
        <v>65</v>
      </c>
      <c r="AN351" s="1" t="s">
        <v>1551</v>
      </c>
      <c r="AO351" s="1"/>
      <c r="AP351" s="2">
        <v>43984.6894328704</v>
      </c>
      <c r="AQ351" s="1"/>
      <c r="AR351" s="1" t="s">
        <v>229</v>
      </c>
      <c r="AS351" s="1" t="s">
        <v>1815</v>
      </c>
      <c r="AT351" s="2">
        <v>44269.931099537</v>
      </c>
    </row>
    <row r="352" ht="13.5" customHeight="1">
      <c r="A352" s="1">
        <v>2035287.0</v>
      </c>
      <c r="B352" s="1" t="s">
        <v>67</v>
      </c>
      <c r="C352" s="1" t="s">
        <v>68</v>
      </c>
      <c r="D352" s="1" t="s">
        <v>46</v>
      </c>
      <c r="E352" s="1" t="s">
        <v>1816</v>
      </c>
      <c r="F352" s="1"/>
      <c r="G352" s="1" t="s">
        <v>70</v>
      </c>
      <c r="H352" s="1" t="s">
        <v>50</v>
      </c>
      <c r="I352" s="1">
        <v>10000.0</v>
      </c>
      <c r="J352" s="1"/>
      <c r="K352" s="1"/>
      <c r="L352" s="1" t="s">
        <v>151</v>
      </c>
      <c r="M352" s="1" t="s">
        <v>1817</v>
      </c>
      <c r="N352" s="1" t="s">
        <v>283</v>
      </c>
      <c r="O352" s="1" t="s">
        <v>978</v>
      </c>
      <c r="P352" s="2">
        <v>43810.625</v>
      </c>
      <c r="Q352" s="1" t="s">
        <v>373</v>
      </c>
      <c r="R352" s="3">
        <v>43810.0</v>
      </c>
      <c r="S352" s="1"/>
      <c r="T352" s="1">
        <v>4306106.0</v>
      </c>
      <c r="U352" s="1" t="s">
        <v>1818</v>
      </c>
      <c r="V352" s="1" t="s">
        <v>145</v>
      </c>
      <c r="W352" s="1" t="s">
        <v>59</v>
      </c>
      <c r="X352" s="1"/>
      <c r="Y352" s="1" t="str">
        <f>"02023000316202011"</f>
        <v>02023000316202011</v>
      </c>
      <c r="Z352" s="1" t="s">
        <v>980</v>
      </c>
      <c r="AA352" s="1" t="s">
        <v>1819</v>
      </c>
      <c r="AB352" s="1" t="str">
        <f>"***743370**"</f>
        <v>***743370**</v>
      </c>
      <c r="AC352" s="1"/>
      <c r="AD352" s="1"/>
      <c r="AE352" s="1"/>
      <c r="AF352" s="1">
        <v>-53.338055</v>
      </c>
      <c r="AG352" s="1">
        <v>-28.679722</v>
      </c>
      <c r="AH352" s="1" t="s">
        <v>1820</v>
      </c>
      <c r="AI352" s="1"/>
      <c r="AJ352" s="1" t="s">
        <v>151</v>
      </c>
      <c r="AK352" s="1"/>
      <c r="AL352" s="1" t="s">
        <v>79</v>
      </c>
      <c r="AM352" s="1" t="s">
        <v>65</v>
      </c>
      <c r="AN352" s="1" t="s">
        <v>1551</v>
      </c>
      <c r="AO352" s="2">
        <v>43900.0</v>
      </c>
      <c r="AP352" s="2">
        <v>43900.4176967593</v>
      </c>
      <c r="AQ352" s="1" t="s">
        <v>80</v>
      </c>
      <c r="AR352" s="1" t="s">
        <v>1576</v>
      </c>
      <c r="AS352" s="1" t="s">
        <v>1821</v>
      </c>
      <c r="AT352" s="2">
        <v>44269.931099537</v>
      </c>
    </row>
    <row r="353" ht="13.5" customHeight="1">
      <c r="A353" s="1">
        <v>2035613.0</v>
      </c>
      <c r="B353" s="1" t="s">
        <v>67</v>
      </c>
      <c r="C353" s="1" t="s">
        <v>68</v>
      </c>
      <c r="D353" s="1" t="s">
        <v>46</v>
      </c>
      <c r="E353" s="1" t="s">
        <v>1822</v>
      </c>
      <c r="F353" s="1"/>
      <c r="G353" s="1" t="s">
        <v>70</v>
      </c>
      <c r="H353" s="1" t="s">
        <v>93</v>
      </c>
      <c r="I353" s="1">
        <v>1000.0</v>
      </c>
      <c r="J353" s="1"/>
      <c r="K353" s="1"/>
      <c r="L353" s="1" t="s">
        <v>501</v>
      </c>
      <c r="M353" s="1" t="s">
        <v>1823</v>
      </c>
      <c r="N353" s="1" t="s">
        <v>95</v>
      </c>
      <c r="O353" s="1" t="s">
        <v>96</v>
      </c>
      <c r="P353" s="2">
        <v>43810.625</v>
      </c>
      <c r="Q353" s="1" t="s">
        <v>373</v>
      </c>
      <c r="R353" s="3">
        <v>43810.0</v>
      </c>
      <c r="S353" s="1"/>
      <c r="T353" s="1">
        <v>2412005.0</v>
      </c>
      <c r="U353" s="1" t="s">
        <v>1375</v>
      </c>
      <c r="V353" s="1" t="s">
        <v>1424</v>
      </c>
      <c r="W353" s="1" t="s">
        <v>113</v>
      </c>
      <c r="X353" s="1"/>
      <c r="Y353" s="1" t="str">
        <f>"02021000218202001"</f>
        <v>02021000218202001</v>
      </c>
      <c r="Z353" s="1" t="s">
        <v>98</v>
      </c>
      <c r="AA353" s="1" t="s">
        <v>1824</v>
      </c>
      <c r="AB353" s="1" t="str">
        <f>"***944654**"</f>
        <v>***944654**</v>
      </c>
      <c r="AC353" s="1"/>
      <c r="AD353" s="1"/>
      <c r="AE353" s="1"/>
      <c r="AF353" s="1">
        <v>-35.326664</v>
      </c>
      <c r="AG353" s="1">
        <v>-5.748889</v>
      </c>
      <c r="AH353" s="1" t="s">
        <v>1825</v>
      </c>
      <c r="AI353" s="1"/>
      <c r="AJ353" s="1" t="s">
        <v>501</v>
      </c>
      <c r="AK353" s="1"/>
      <c r="AL353" s="1" t="s">
        <v>79</v>
      </c>
      <c r="AM353" s="1" t="s">
        <v>65</v>
      </c>
      <c r="AN353" s="1" t="s">
        <v>1427</v>
      </c>
      <c r="AO353" s="2">
        <v>43909.0</v>
      </c>
      <c r="AP353" s="2">
        <v>43909.7259953704</v>
      </c>
      <c r="AQ353" s="1" t="s">
        <v>80</v>
      </c>
      <c r="AR353" s="1" t="s">
        <v>1826</v>
      </c>
      <c r="AS353" s="1"/>
      <c r="AT353" s="2">
        <v>44269.931099537</v>
      </c>
    </row>
    <row r="354" ht="13.5" customHeight="1">
      <c r="A354" s="1">
        <v>2038802.0</v>
      </c>
      <c r="B354" s="1" t="s">
        <v>67</v>
      </c>
      <c r="C354" s="1" t="s">
        <v>68</v>
      </c>
      <c r="D354" s="1" t="s">
        <v>46</v>
      </c>
      <c r="E354" s="1" t="s">
        <v>1827</v>
      </c>
      <c r="F354" s="1"/>
      <c r="G354" s="1" t="s">
        <v>70</v>
      </c>
      <c r="H354" s="1" t="s">
        <v>50</v>
      </c>
      <c r="I354" s="1">
        <v>1000.0</v>
      </c>
      <c r="J354" s="1"/>
      <c r="K354" s="1"/>
      <c r="L354" s="1" t="s">
        <v>587</v>
      </c>
      <c r="M354" s="1" t="s">
        <v>1828</v>
      </c>
      <c r="N354" s="1" t="s">
        <v>95</v>
      </c>
      <c r="O354" s="1" t="s">
        <v>96</v>
      </c>
      <c r="P354" s="2">
        <v>43810.625</v>
      </c>
      <c r="Q354" s="1" t="s">
        <v>74</v>
      </c>
      <c r="R354" s="1"/>
      <c r="S354" s="1"/>
      <c r="T354" s="1">
        <v>3112307.0</v>
      </c>
      <c r="U354" s="1" t="s">
        <v>1829</v>
      </c>
      <c r="V354" s="1" t="s">
        <v>126</v>
      </c>
      <c r="W354" s="1" t="s">
        <v>127</v>
      </c>
      <c r="X354" s="1"/>
      <c r="Y354" s="1" t="str">
        <f>"02566000009202001"</f>
        <v>02566000009202001</v>
      </c>
      <c r="Z354" s="1" t="s">
        <v>98</v>
      </c>
      <c r="AA354" s="1" t="s">
        <v>1830</v>
      </c>
      <c r="AB354" s="1" t="str">
        <f>"***996126**"</f>
        <v>***996126**</v>
      </c>
      <c r="AC354" s="1"/>
      <c r="AD354" s="1"/>
      <c r="AE354" s="1"/>
      <c r="AF354" s="1">
        <v>-42.509445</v>
      </c>
      <c r="AG354" s="1">
        <v>-17.689444</v>
      </c>
      <c r="AH354" s="1" t="s">
        <v>1831</v>
      </c>
      <c r="AI354" s="1"/>
      <c r="AJ354" s="1" t="s">
        <v>587</v>
      </c>
      <c r="AK354" s="1"/>
      <c r="AL354" s="1" t="s">
        <v>79</v>
      </c>
      <c r="AM354" s="1" t="s">
        <v>65</v>
      </c>
      <c r="AN354" s="1" t="s">
        <v>592</v>
      </c>
      <c r="AO354" s="2">
        <v>44046.0</v>
      </c>
      <c r="AP354" s="2">
        <v>44046.6715509259</v>
      </c>
      <c r="AQ354" s="1" t="s">
        <v>80</v>
      </c>
      <c r="AR354" s="1" t="s">
        <v>593</v>
      </c>
      <c r="AS354" s="1"/>
      <c r="AT354" s="2">
        <v>44269.931099537</v>
      </c>
    </row>
    <row r="355" ht="13.5" customHeight="1">
      <c r="A355" s="1">
        <v>2039078.0</v>
      </c>
      <c r="B355" s="1" t="s">
        <v>67</v>
      </c>
      <c r="C355" s="1" t="s">
        <v>68</v>
      </c>
      <c r="D355" s="1" t="s">
        <v>46</v>
      </c>
      <c r="E355" s="1" t="s">
        <v>1832</v>
      </c>
      <c r="F355" s="1"/>
      <c r="G355" s="1" t="s">
        <v>70</v>
      </c>
      <c r="H355" s="1" t="s">
        <v>50</v>
      </c>
      <c r="I355" s="1">
        <v>50500.0</v>
      </c>
      <c r="J355" s="1"/>
      <c r="K355" s="1"/>
      <c r="L355" s="1" t="s">
        <v>172</v>
      </c>
      <c r="M355" s="1" t="s">
        <v>1833</v>
      </c>
      <c r="N355" s="1" t="s">
        <v>72</v>
      </c>
      <c r="O355" s="1" t="s">
        <v>213</v>
      </c>
      <c r="P355" s="2">
        <v>43810.625</v>
      </c>
      <c r="Q355" s="1" t="s">
        <v>74</v>
      </c>
      <c r="R355" s="3">
        <v>43955.0</v>
      </c>
      <c r="S355" s="1"/>
      <c r="T355" s="1">
        <v>5300108.0</v>
      </c>
      <c r="U355" s="1" t="s">
        <v>1541</v>
      </c>
      <c r="V355" s="1" t="s">
        <v>1542</v>
      </c>
      <c r="W355" s="1" t="s">
        <v>127</v>
      </c>
      <c r="X355" s="1"/>
      <c r="Y355" s="1" t="str">
        <f>"02001035618201924"</f>
        <v>02001035618201924</v>
      </c>
      <c r="Z355" s="1" t="s">
        <v>215</v>
      </c>
      <c r="AA355" s="1" t="s">
        <v>1834</v>
      </c>
      <c r="AB355" s="1" t="str">
        <f>"04066598000172"</f>
        <v>04066598000172</v>
      </c>
      <c r="AC355" s="1"/>
      <c r="AD355" s="1"/>
      <c r="AE355" s="1"/>
      <c r="AF355" s="1">
        <v>-47.861942</v>
      </c>
      <c r="AG355" s="1">
        <v>-15.767222</v>
      </c>
      <c r="AH355" s="1" t="s">
        <v>1544</v>
      </c>
      <c r="AI355" s="1"/>
      <c r="AJ355" s="1" t="s">
        <v>172</v>
      </c>
      <c r="AK355" s="1"/>
      <c r="AL355" s="1" t="s">
        <v>79</v>
      </c>
      <c r="AM355" s="1" t="s">
        <v>65</v>
      </c>
      <c r="AN355" s="1" t="s">
        <v>720</v>
      </c>
      <c r="AO355" s="2">
        <v>44054.0</v>
      </c>
      <c r="AP355" s="2">
        <v>44054.4408564815</v>
      </c>
      <c r="AQ355" s="1" t="s">
        <v>80</v>
      </c>
      <c r="AR355" s="1" t="s">
        <v>909</v>
      </c>
      <c r="AS355" s="1" t="s">
        <v>1545</v>
      </c>
      <c r="AT355" s="2">
        <v>44269.931099537</v>
      </c>
    </row>
    <row r="356" ht="13.5" customHeight="1">
      <c r="A356" s="1">
        <v>2044273.0</v>
      </c>
      <c r="B356" s="1" t="s">
        <v>67</v>
      </c>
      <c r="C356" s="1" t="s">
        <v>68</v>
      </c>
      <c r="D356" s="1" t="s">
        <v>46</v>
      </c>
      <c r="E356" s="1" t="s">
        <v>1835</v>
      </c>
      <c r="F356" s="1"/>
      <c r="G356" s="1" t="s">
        <v>70</v>
      </c>
      <c r="H356" s="1" t="s">
        <v>50</v>
      </c>
      <c r="I356" s="1">
        <v>1500.0</v>
      </c>
      <c r="J356" s="1"/>
      <c r="K356" s="1"/>
      <c r="L356" s="1" t="s">
        <v>64</v>
      </c>
      <c r="M356" s="1" t="s">
        <v>1836</v>
      </c>
      <c r="N356" s="1" t="s">
        <v>72</v>
      </c>
      <c r="O356" s="1" t="s">
        <v>73</v>
      </c>
      <c r="P356" s="2">
        <v>43810.625</v>
      </c>
      <c r="Q356" s="1" t="s">
        <v>74</v>
      </c>
      <c r="R356" s="3">
        <v>43810.0</v>
      </c>
      <c r="S356" s="1"/>
      <c r="T356" s="1">
        <v>3550308.0</v>
      </c>
      <c r="U356" s="1" t="s">
        <v>607</v>
      </c>
      <c r="V356" s="1" t="s">
        <v>58</v>
      </c>
      <c r="W356" s="1" t="s">
        <v>59</v>
      </c>
      <c r="X356" s="1"/>
      <c r="Y356" s="1" t="str">
        <f>"02027022682201957"</f>
        <v>02027022682201957</v>
      </c>
      <c r="Z356" s="1" t="s">
        <v>76</v>
      </c>
      <c r="AA356" s="1" t="s">
        <v>1837</v>
      </c>
      <c r="AB356" s="1" t="str">
        <f>"***790248**"</f>
        <v>***790248**</v>
      </c>
      <c r="AC356" s="1"/>
      <c r="AD356" s="1"/>
      <c r="AE356" s="1"/>
      <c r="AF356" s="1">
        <v>-46.668611</v>
      </c>
      <c r="AG356" s="1">
        <v>-23.559722</v>
      </c>
      <c r="AH356" s="1" t="s">
        <v>1838</v>
      </c>
      <c r="AI356" s="1"/>
      <c r="AJ356" s="1" t="s">
        <v>64</v>
      </c>
      <c r="AK356" s="1"/>
      <c r="AL356" s="1" t="s">
        <v>79</v>
      </c>
      <c r="AM356" s="1" t="s">
        <v>65</v>
      </c>
      <c r="AN356" s="1"/>
      <c r="AO356" s="2">
        <v>44266.0</v>
      </c>
      <c r="AP356" s="2">
        <v>44266.7546064815</v>
      </c>
      <c r="AQ356" s="1" t="s">
        <v>80</v>
      </c>
      <c r="AR356" s="1" t="s">
        <v>81</v>
      </c>
      <c r="AS356" s="1"/>
      <c r="AT356" s="2">
        <v>44269.931099537</v>
      </c>
    </row>
    <row r="357" ht="13.5" customHeight="1">
      <c r="A357" s="1"/>
      <c r="B357" s="1" t="s">
        <v>46</v>
      </c>
      <c r="C357" s="1" t="s">
        <v>47</v>
      </c>
      <c r="D357" s="1"/>
      <c r="E357" s="1" t="s">
        <v>1839</v>
      </c>
      <c r="F357" s="1"/>
      <c r="G357" s="1" t="s">
        <v>49</v>
      </c>
      <c r="H357" s="1" t="s">
        <v>93</v>
      </c>
      <c r="I357" s="1">
        <v>50000.0</v>
      </c>
      <c r="J357" s="1"/>
      <c r="K357" s="1"/>
      <c r="L357" s="1"/>
      <c r="M357" s="1" t="s">
        <v>1840</v>
      </c>
      <c r="N357" s="1" t="s">
        <v>212</v>
      </c>
      <c r="O357" s="1" t="s">
        <v>213</v>
      </c>
      <c r="P357" s="2">
        <v>43810.6061458333</v>
      </c>
      <c r="Q357" s="1" t="s">
        <v>74</v>
      </c>
      <c r="R357" s="3">
        <v>43810.0</v>
      </c>
      <c r="S357" s="1"/>
      <c r="T357" s="1">
        <v>2205706.0</v>
      </c>
      <c r="U357" s="1" t="s">
        <v>1351</v>
      </c>
      <c r="V357" s="1" t="s">
        <v>895</v>
      </c>
      <c r="W357" s="1" t="s">
        <v>288</v>
      </c>
      <c r="X357" s="1"/>
      <c r="Y357" s="1"/>
      <c r="Z357" s="1" t="s">
        <v>215</v>
      </c>
      <c r="AA357" s="1" t="s">
        <v>1841</v>
      </c>
      <c r="AB357" s="1" t="str">
        <f>"06554448000133"</f>
        <v>06554448000133</v>
      </c>
      <c r="AC357" s="1"/>
      <c r="AD357" s="1" t="s">
        <v>149</v>
      </c>
      <c r="AE357" s="1"/>
      <c r="AF357" s="1">
        <v>-41.778332</v>
      </c>
      <c r="AG357" s="1">
        <v>-2.996389</v>
      </c>
      <c r="AH357" s="1" t="s">
        <v>1842</v>
      </c>
      <c r="AI357" s="1"/>
      <c r="AJ357" s="1" t="s">
        <v>898</v>
      </c>
      <c r="AK357" s="1"/>
      <c r="AL357" s="1"/>
      <c r="AM357" s="1" t="s">
        <v>65</v>
      </c>
      <c r="AN357" s="1" t="s">
        <v>152</v>
      </c>
      <c r="AO357" s="1"/>
      <c r="AP357" s="2">
        <v>43810.6163194444</v>
      </c>
      <c r="AQ357" s="1"/>
      <c r="AR357" s="1" t="s">
        <v>1843</v>
      </c>
      <c r="AS357" s="1" t="s">
        <v>1844</v>
      </c>
      <c r="AT357" s="2">
        <v>44269.931099537</v>
      </c>
    </row>
    <row r="358" ht="13.5" customHeight="1">
      <c r="A358" s="1">
        <v>2034464.0</v>
      </c>
      <c r="B358" s="1" t="s">
        <v>67</v>
      </c>
      <c r="C358" s="1" t="s">
        <v>68</v>
      </c>
      <c r="D358" s="1" t="s">
        <v>46</v>
      </c>
      <c r="E358" s="1" t="s">
        <v>1845</v>
      </c>
      <c r="F358" s="1"/>
      <c r="G358" s="1" t="s">
        <v>70</v>
      </c>
      <c r="H358" s="1" t="s">
        <v>93</v>
      </c>
      <c r="I358" s="1">
        <v>2000.0</v>
      </c>
      <c r="J358" s="1"/>
      <c r="K358" s="1"/>
      <c r="L358" s="1" t="s">
        <v>106</v>
      </c>
      <c r="M358" s="1" t="s">
        <v>1846</v>
      </c>
      <c r="N358" s="1" t="s">
        <v>95</v>
      </c>
      <c r="O358" s="1" t="s">
        <v>96</v>
      </c>
      <c r="P358" s="2">
        <v>43810.6048611111</v>
      </c>
      <c r="Q358" s="1" t="s">
        <v>373</v>
      </c>
      <c r="R358" s="1"/>
      <c r="S358" s="1"/>
      <c r="T358" s="1">
        <v>2309409.0</v>
      </c>
      <c r="U358" s="1" t="s">
        <v>1847</v>
      </c>
      <c r="V358" s="1" t="s">
        <v>112</v>
      </c>
      <c r="W358" s="1" t="s">
        <v>113</v>
      </c>
      <c r="X358" s="1"/>
      <c r="Y358" s="1" t="str">
        <f>"02007004075201943"</f>
        <v>02007004075201943</v>
      </c>
      <c r="Z358" s="1" t="s">
        <v>1848</v>
      </c>
      <c r="AA358" s="1" t="s">
        <v>1849</v>
      </c>
      <c r="AB358" s="1" t="str">
        <f>"***590403**"</f>
        <v>***590403**</v>
      </c>
      <c r="AC358" s="1"/>
      <c r="AD358" s="1" t="s">
        <v>116</v>
      </c>
      <c r="AE358" s="1"/>
      <c r="AF358" s="1">
        <v>0.0</v>
      </c>
      <c r="AG358" s="1">
        <v>0.0</v>
      </c>
      <c r="AH358" s="1" t="s">
        <v>1269</v>
      </c>
      <c r="AI358" s="1"/>
      <c r="AJ358" s="1"/>
      <c r="AK358" s="1"/>
      <c r="AL358" s="1" t="s">
        <v>118</v>
      </c>
      <c r="AM358" s="1"/>
      <c r="AN358" s="1"/>
      <c r="AO358" s="2">
        <v>43873.3613657408</v>
      </c>
      <c r="AP358" s="2">
        <v>43873.3613773148</v>
      </c>
      <c r="AQ358" s="1" t="s">
        <v>80</v>
      </c>
      <c r="AR358" s="1" t="s">
        <v>1270</v>
      </c>
      <c r="AS358" s="1"/>
      <c r="AT358" s="2">
        <v>44269.931099537</v>
      </c>
    </row>
    <row r="359" ht="13.5" customHeight="1">
      <c r="A359" s="1"/>
      <c r="B359" s="1" t="s">
        <v>46</v>
      </c>
      <c r="C359" s="1" t="s">
        <v>47</v>
      </c>
      <c r="D359" s="1"/>
      <c r="E359" s="1" t="s">
        <v>1850</v>
      </c>
      <c r="F359" s="1"/>
      <c r="G359" s="1"/>
      <c r="H359" s="1"/>
      <c r="I359" s="1"/>
      <c r="J359" s="1"/>
      <c r="K359" s="1"/>
      <c r="L359" s="1"/>
      <c r="M359" s="1"/>
      <c r="N359" s="1" t="s">
        <v>142</v>
      </c>
      <c r="O359" s="1" t="s">
        <v>143</v>
      </c>
      <c r="P359" s="2">
        <v>43810.5950115741</v>
      </c>
      <c r="Q359" s="1"/>
      <c r="R359" s="1"/>
      <c r="S359" s="1"/>
      <c r="T359" s="1">
        <v>1100320.0</v>
      </c>
      <c r="U359" s="1" t="s">
        <v>1851</v>
      </c>
      <c r="V359" s="1" t="s">
        <v>448</v>
      </c>
      <c r="W359" s="1" t="s">
        <v>177</v>
      </c>
      <c r="X359" s="1"/>
      <c r="Y359" s="1"/>
      <c r="Z359" s="1" t="s">
        <v>147</v>
      </c>
      <c r="AA359" s="1"/>
      <c r="AB359" s="1"/>
      <c r="AC359" s="1"/>
      <c r="AD359" s="1" t="s">
        <v>116</v>
      </c>
      <c r="AE359" s="1"/>
      <c r="AF359" s="1">
        <v>-62.664722</v>
      </c>
      <c r="AG359" s="1">
        <v>-11.615833</v>
      </c>
      <c r="AH359" s="1" t="s">
        <v>1852</v>
      </c>
      <c r="AI359" s="1"/>
      <c r="AJ359" s="1" t="s">
        <v>172</v>
      </c>
      <c r="AK359" s="1"/>
      <c r="AL359" s="1"/>
      <c r="AM359" s="1" t="s">
        <v>65</v>
      </c>
      <c r="AN359" s="1" t="s">
        <v>1395</v>
      </c>
      <c r="AO359" s="1"/>
      <c r="AP359" s="2">
        <v>43810.6154861111</v>
      </c>
      <c r="AQ359" s="1"/>
      <c r="AR359" s="1"/>
      <c r="AS359" s="1"/>
      <c r="AT359" s="2">
        <v>44269.931099537</v>
      </c>
    </row>
    <row r="360" ht="13.5" customHeight="1">
      <c r="A360" s="1">
        <v>2035624.0</v>
      </c>
      <c r="B360" s="1" t="s">
        <v>67</v>
      </c>
      <c r="C360" s="1" t="s">
        <v>68</v>
      </c>
      <c r="D360" s="1" t="s">
        <v>46</v>
      </c>
      <c r="E360" s="1" t="s">
        <v>1853</v>
      </c>
      <c r="F360" s="1"/>
      <c r="G360" s="1" t="s">
        <v>70</v>
      </c>
      <c r="H360" s="1" t="s">
        <v>50</v>
      </c>
      <c r="I360" s="1">
        <v>10000.0</v>
      </c>
      <c r="J360" s="1"/>
      <c r="K360" s="1"/>
      <c r="L360" s="1" t="s">
        <v>501</v>
      </c>
      <c r="M360" s="1" t="s">
        <v>1854</v>
      </c>
      <c r="N360" s="1" t="s">
        <v>142</v>
      </c>
      <c r="O360" s="1" t="s">
        <v>143</v>
      </c>
      <c r="P360" s="2">
        <v>43810.5833333333</v>
      </c>
      <c r="Q360" s="1" t="s">
        <v>74</v>
      </c>
      <c r="R360" s="3">
        <v>43810.0</v>
      </c>
      <c r="S360" s="1"/>
      <c r="T360" s="1">
        <v>2502003.0</v>
      </c>
      <c r="U360" s="1" t="s">
        <v>1855</v>
      </c>
      <c r="V360" s="1" t="s">
        <v>728</v>
      </c>
      <c r="W360" s="1" t="s">
        <v>113</v>
      </c>
      <c r="X360" s="1"/>
      <c r="Y360" s="1" t="str">
        <f>"02021000135202012"</f>
        <v>02021000135202012</v>
      </c>
      <c r="Z360" s="1" t="s">
        <v>147</v>
      </c>
      <c r="AA360" s="1" t="s">
        <v>1856</v>
      </c>
      <c r="AB360" s="1" t="str">
        <f>"***284484**"</f>
        <v>***284484**</v>
      </c>
      <c r="AC360" s="1"/>
      <c r="AD360" s="1"/>
      <c r="AE360" s="1"/>
      <c r="AF360" s="1">
        <v>-37.385002</v>
      </c>
      <c r="AG360" s="1">
        <v>-6.113055</v>
      </c>
      <c r="AH360" s="1" t="s">
        <v>1857</v>
      </c>
      <c r="AI360" s="1"/>
      <c r="AJ360" s="1" t="s">
        <v>501</v>
      </c>
      <c r="AK360" s="1"/>
      <c r="AL360" s="1" t="s">
        <v>79</v>
      </c>
      <c r="AM360" s="1" t="s">
        <v>65</v>
      </c>
      <c r="AN360" s="1"/>
      <c r="AO360" s="2">
        <v>43909.0</v>
      </c>
      <c r="AP360" s="2">
        <v>43909.7449884259</v>
      </c>
      <c r="AQ360" s="1" t="s">
        <v>80</v>
      </c>
      <c r="AR360" s="1" t="s">
        <v>1607</v>
      </c>
      <c r="AS360" s="1"/>
      <c r="AT360" s="2">
        <v>44269.931099537</v>
      </c>
    </row>
    <row r="361" ht="13.5" customHeight="1">
      <c r="A361" s="1"/>
      <c r="B361" s="1" t="s">
        <v>46</v>
      </c>
      <c r="C361" s="1" t="s">
        <v>47</v>
      </c>
      <c r="D361" s="1"/>
      <c r="E361" s="1" t="s">
        <v>1858</v>
      </c>
      <c r="F361" s="1"/>
      <c r="G361" s="1" t="s">
        <v>49</v>
      </c>
      <c r="H361" s="1" t="s">
        <v>50</v>
      </c>
      <c r="I361" s="1">
        <v>100000.0</v>
      </c>
      <c r="J361" s="1"/>
      <c r="K361" s="1" t="s">
        <v>51</v>
      </c>
      <c r="L361" s="1"/>
      <c r="M361" s="1" t="s">
        <v>1859</v>
      </c>
      <c r="N361" s="1" t="s">
        <v>283</v>
      </c>
      <c r="O361" s="1" t="s">
        <v>1133</v>
      </c>
      <c r="P361" s="2">
        <v>43810.5815740741</v>
      </c>
      <c r="Q361" s="1" t="s">
        <v>74</v>
      </c>
      <c r="R361" s="1"/>
      <c r="S361" s="1"/>
      <c r="T361" s="1">
        <v>3302403.0</v>
      </c>
      <c r="U361" s="1" t="s">
        <v>1371</v>
      </c>
      <c r="V361" s="1" t="s">
        <v>287</v>
      </c>
      <c r="W361" s="1" t="s">
        <v>288</v>
      </c>
      <c r="X361" s="1"/>
      <c r="Y361" s="1"/>
      <c r="Z361" s="1" t="s">
        <v>128</v>
      </c>
      <c r="AA361" s="1" t="s">
        <v>1449</v>
      </c>
      <c r="AB361" s="1" t="str">
        <f>"33000167100750"</f>
        <v>33000167100750</v>
      </c>
      <c r="AC361" s="1"/>
      <c r="AD361" s="1" t="s">
        <v>149</v>
      </c>
      <c r="AE361" s="1"/>
      <c r="AF361" s="1">
        <v>-40.47028</v>
      </c>
      <c r="AG361" s="1">
        <v>-22.464724</v>
      </c>
      <c r="AH361" s="1" t="s">
        <v>1527</v>
      </c>
      <c r="AI361" s="1"/>
      <c r="AJ361" s="1" t="s">
        <v>172</v>
      </c>
      <c r="AK361" s="1"/>
      <c r="AL361" s="1"/>
      <c r="AM361" s="1" t="s">
        <v>65</v>
      </c>
      <c r="AN361" s="1" t="s">
        <v>720</v>
      </c>
      <c r="AO361" s="1"/>
      <c r="AP361" s="2">
        <v>44013.7174884259</v>
      </c>
      <c r="AQ361" s="1"/>
      <c r="AR361" s="1" t="s">
        <v>1360</v>
      </c>
      <c r="AS361" s="1" t="s">
        <v>1361</v>
      </c>
      <c r="AT361" s="2">
        <v>44269.931099537</v>
      </c>
    </row>
    <row r="362" ht="13.5" customHeight="1">
      <c r="A362" s="1"/>
      <c r="B362" s="1" t="s">
        <v>46</v>
      </c>
      <c r="C362" s="1" t="s">
        <v>47</v>
      </c>
      <c r="D362" s="1"/>
      <c r="E362" s="1" t="s">
        <v>1860</v>
      </c>
      <c r="F362" s="1"/>
      <c r="G362" s="1" t="s">
        <v>49</v>
      </c>
      <c r="H362" s="1" t="s">
        <v>93</v>
      </c>
      <c r="I362" s="1">
        <v>330000.0</v>
      </c>
      <c r="J362" s="1"/>
      <c r="K362" s="1"/>
      <c r="L362" s="1"/>
      <c r="M362" s="1" t="s">
        <v>1861</v>
      </c>
      <c r="N362" s="1" t="s">
        <v>142</v>
      </c>
      <c r="O362" s="1" t="s">
        <v>143</v>
      </c>
      <c r="P362" s="2">
        <v>43810.5763888889</v>
      </c>
      <c r="Q362" s="1" t="s">
        <v>74</v>
      </c>
      <c r="R362" s="3">
        <v>43810.0</v>
      </c>
      <c r="S362" s="1"/>
      <c r="T362" s="1">
        <v>1100320.0</v>
      </c>
      <c r="U362" s="1" t="s">
        <v>1851</v>
      </c>
      <c r="V362" s="1" t="s">
        <v>448</v>
      </c>
      <c r="W362" s="1" t="s">
        <v>177</v>
      </c>
      <c r="X362" s="1"/>
      <c r="Y362" s="1"/>
      <c r="Z362" s="1" t="s">
        <v>147</v>
      </c>
      <c r="AA362" s="1" t="s">
        <v>1862</v>
      </c>
      <c r="AB362" s="1" t="str">
        <f>"***670339**"</f>
        <v>***670339**</v>
      </c>
      <c r="AC362" s="1"/>
      <c r="AD362" s="1" t="s">
        <v>116</v>
      </c>
      <c r="AE362" s="1"/>
      <c r="AF362" s="1">
        <v>-62.670555</v>
      </c>
      <c r="AG362" s="1">
        <v>-11.666389</v>
      </c>
      <c r="AH362" s="1" t="s">
        <v>1863</v>
      </c>
      <c r="AI362" s="1"/>
      <c r="AJ362" s="1" t="s">
        <v>172</v>
      </c>
      <c r="AK362" s="1"/>
      <c r="AL362" s="1"/>
      <c r="AM362" s="1" t="s">
        <v>65</v>
      </c>
      <c r="AN362" s="1" t="s">
        <v>1395</v>
      </c>
      <c r="AO362" s="1"/>
      <c r="AP362" s="2">
        <v>43810.6205902778</v>
      </c>
      <c r="AQ362" s="1"/>
      <c r="AR362" s="1" t="s">
        <v>644</v>
      </c>
      <c r="AS362" s="1" t="s">
        <v>1864</v>
      </c>
      <c r="AT362" s="2">
        <v>44269.931099537</v>
      </c>
    </row>
    <row r="363" ht="13.5" customHeight="1">
      <c r="A363" s="1"/>
      <c r="B363" s="1" t="s">
        <v>46</v>
      </c>
      <c r="C363" s="1" t="s">
        <v>47</v>
      </c>
      <c r="D363" s="1"/>
      <c r="E363" s="1" t="s">
        <v>1865</v>
      </c>
      <c r="F363" s="1"/>
      <c r="G363" s="1" t="s">
        <v>49</v>
      </c>
      <c r="H363" s="1" t="s">
        <v>93</v>
      </c>
      <c r="I363" s="1">
        <v>5000.0</v>
      </c>
      <c r="J363" s="1"/>
      <c r="K363" s="1"/>
      <c r="L363" s="1"/>
      <c r="M363" s="1" t="s">
        <v>1866</v>
      </c>
      <c r="N363" s="1" t="s">
        <v>95</v>
      </c>
      <c r="O363" s="1" t="s">
        <v>96</v>
      </c>
      <c r="P363" s="2">
        <v>43810.5607523148</v>
      </c>
      <c r="Q363" s="1" t="s">
        <v>74</v>
      </c>
      <c r="R363" s="1"/>
      <c r="S363" s="1"/>
      <c r="T363" s="1">
        <v>3131307.0</v>
      </c>
      <c r="U363" s="1" t="s">
        <v>819</v>
      </c>
      <c r="V363" s="1" t="s">
        <v>126</v>
      </c>
      <c r="W363" s="1" t="s">
        <v>127</v>
      </c>
      <c r="X363" s="1"/>
      <c r="Y363" s="1"/>
      <c r="Z363" s="1" t="s">
        <v>98</v>
      </c>
      <c r="AA363" s="1" t="s">
        <v>1867</v>
      </c>
      <c r="AB363" s="1" t="str">
        <f t="shared" ref="AB363:AB364" si="22">"***003696**"</f>
        <v>***003696**</v>
      </c>
      <c r="AC363" s="1"/>
      <c r="AD363" s="1" t="s">
        <v>149</v>
      </c>
      <c r="AE363" s="1"/>
      <c r="AF363" s="1">
        <v>-42.52</v>
      </c>
      <c r="AG363" s="1">
        <v>-19.464445</v>
      </c>
      <c r="AH363" s="1" t="s">
        <v>1868</v>
      </c>
      <c r="AI363" s="1"/>
      <c r="AJ363" s="1" t="s">
        <v>131</v>
      </c>
      <c r="AK363" s="1"/>
      <c r="AL363" s="1"/>
      <c r="AM363" s="1" t="s">
        <v>65</v>
      </c>
      <c r="AN363" s="1" t="s">
        <v>132</v>
      </c>
      <c r="AO363" s="1"/>
      <c r="AP363" s="2">
        <v>43810.5700694444</v>
      </c>
      <c r="AQ363" s="1"/>
      <c r="AR363" s="1" t="s">
        <v>1869</v>
      </c>
      <c r="AS363" s="1"/>
      <c r="AT363" s="2">
        <v>44269.931099537</v>
      </c>
    </row>
    <row r="364" ht="13.5" customHeight="1">
      <c r="A364" s="1"/>
      <c r="B364" s="1" t="s">
        <v>46</v>
      </c>
      <c r="C364" s="1" t="s">
        <v>47</v>
      </c>
      <c r="D364" s="1"/>
      <c r="E364" s="1" t="s">
        <v>1870</v>
      </c>
      <c r="F364" s="1"/>
      <c r="G364" s="1" t="s">
        <v>49</v>
      </c>
      <c r="H364" s="1" t="s">
        <v>93</v>
      </c>
      <c r="I364" s="1">
        <v>5000.0</v>
      </c>
      <c r="J364" s="1"/>
      <c r="K364" s="1"/>
      <c r="L364" s="1"/>
      <c r="M364" s="1" t="s">
        <v>1871</v>
      </c>
      <c r="N364" s="1" t="s">
        <v>95</v>
      </c>
      <c r="O364" s="1" t="s">
        <v>96</v>
      </c>
      <c r="P364" s="2">
        <v>43810.5483101852</v>
      </c>
      <c r="Q364" s="1" t="s">
        <v>74</v>
      </c>
      <c r="R364" s="1"/>
      <c r="S364" s="1"/>
      <c r="T364" s="1">
        <v>3131307.0</v>
      </c>
      <c r="U364" s="1" t="s">
        <v>819</v>
      </c>
      <c r="V364" s="1" t="s">
        <v>126</v>
      </c>
      <c r="W364" s="1" t="s">
        <v>127</v>
      </c>
      <c r="X364" s="1"/>
      <c r="Y364" s="1"/>
      <c r="Z364" s="1" t="s">
        <v>98</v>
      </c>
      <c r="AA364" s="1" t="s">
        <v>1867</v>
      </c>
      <c r="AB364" s="1" t="str">
        <f t="shared" si="22"/>
        <v>***003696**</v>
      </c>
      <c r="AC364" s="1"/>
      <c r="AD364" s="1" t="s">
        <v>149</v>
      </c>
      <c r="AE364" s="1"/>
      <c r="AF364" s="1">
        <v>-42.52</v>
      </c>
      <c r="AG364" s="1">
        <v>-19.464445</v>
      </c>
      <c r="AH364" s="1" t="s">
        <v>1872</v>
      </c>
      <c r="AI364" s="1"/>
      <c r="AJ364" s="1" t="s">
        <v>131</v>
      </c>
      <c r="AK364" s="1"/>
      <c r="AL364" s="1"/>
      <c r="AM364" s="1" t="s">
        <v>65</v>
      </c>
      <c r="AN364" s="1" t="s">
        <v>132</v>
      </c>
      <c r="AO364" s="1"/>
      <c r="AP364" s="2">
        <v>43810.5541319445</v>
      </c>
      <c r="AQ364" s="1"/>
      <c r="AR364" s="1" t="s">
        <v>1508</v>
      </c>
      <c r="AS364" s="1"/>
      <c r="AT364" s="2">
        <v>44269.931099537</v>
      </c>
    </row>
    <row r="365" ht="13.5" customHeight="1">
      <c r="A365" s="1"/>
      <c r="B365" s="1" t="s">
        <v>46</v>
      </c>
      <c r="C365" s="1" t="s">
        <v>47</v>
      </c>
      <c r="D365" s="1"/>
      <c r="E365" s="1" t="s">
        <v>1873</v>
      </c>
      <c r="F365" s="1"/>
      <c r="G365" s="1" t="s">
        <v>49</v>
      </c>
      <c r="H365" s="1" t="s">
        <v>50</v>
      </c>
      <c r="I365" s="1">
        <v>100000.0</v>
      </c>
      <c r="J365" s="1"/>
      <c r="K365" s="1" t="s">
        <v>51</v>
      </c>
      <c r="L365" s="1"/>
      <c r="M365" s="1" t="s">
        <v>1874</v>
      </c>
      <c r="N365" s="1" t="s">
        <v>283</v>
      </c>
      <c r="O365" s="1" t="s">
        <v>1133</v>
      </c>
      <c r="P365" s="2">
        <v>43810.5431828704</v>
      </c>
      <c r="Q365" s="1" t="s">
        <v>74</v>
      </c>
      <c r="R365" s="1"/>
      <c r="S365" s="1"/>
      <c r="T365" s="1">
        <v>3302403.0</v>
      </c>
      <c r="U365" s="1" t="s">
        <v>1371</v>
      </c>
      <c r="V365" s="1" t="s">
        <v>287</v>
      </c>
      <c r="W365" s="1" t="s">
        <v>288</v>
      </c>
      <c r="X365" s="1"/>
      <c r="Y365" s="1"/>
      <c r="Z365" s="1" t="s">
        <v>128</v>
      </c>
      <c r="AA365" s="1" t="s">
        <v>289</v>
      </c>
      <c r="AB365" s="1" t="str">
        <f>"33000167000101"</f>
        <v>33000167000101</v>
      </c>
      <c r="AC365" s="1"/>
      <c r="AD365" s="1" t="s">
        <v>149</v>
      </c>
      <c r="AE365" s="1"/>
      <c r="AF365" s="1">
        <v>-40.468334</v>
      </c>
      <c r="AG365" s="1">
        <v>-22.465557</v>
      </c>
      <c r="AH365" s="1" t="s">
        <v>1527</v>
      </c>
      <c r="AI365" s="1"/>
      <c r="AJ365" s="1" t="s">
        <v>172</v>
      </c>
      <c r="AK365" s="1"/>
      <c r="AL365" s="1"/>
      <c r="AM365" s="1" t="s">
        <v>65</v>
      </c>
      <c r="AN365" s="1" t="s">
        <v>720</v>
      </c>
      <c r="AO365" s="1"/>
      <c r="AP365" s="2">
        <v>44013.7175810185</v>
      </c>
      <c r="AQ365" s="1"/>
      <c r="AR365" s="1" t="s">
        <v>1360</v>
      </c>
      <c r="AS365" s="1" t="s">
        <v>1361</v>
      </c>
      <c r="AT365" s="2">
        <v>44269.931099537</v>
      </c>
    </row>
    <row r="366" ht="13.5" customHeight="1">
      <c r="A366" s="1">
        <v>2041018.0</v>
      </c>
      <c r="B366" s="1" t="s">
        <v>67</v>
      </c>
      <c r="C366" s="1" t="s">
        <v>68</v>
      </c>
      <c r="D366" s="1" t="s">
        <v>46</v>
      </c>
      <c r="E366" s="1" t="s">
        <v>1875</v>
      </c>
      <c r="F366" s="1"/>
      <c r="G366" s="1" t="s">
        <v>70</v>
      </c>
      <c r="H366" s="1" t="s">
        <v>93</v>
      </c>
      <c r="I366" s="1">
        <v>140000.0</v>
      </c>
      <c r="J366" s="1"/>
      <c r="K366" s="1"/>
      <c r="L366" s="1" t="s">
        <v>336</v>
      </c>
      <c r="M366" s="1" t="s">
        <v>1876</v>
      </c>
      <c r="N366" s="1" t="s">
        <v>142</v>
      </c>
      <c r="O366" s="1" t="s">
        <v>143</v>
      </c>
      <c r="P366" s="2">
        <v>43810.5416666667</v>
      </c>
      <c r="Q366" s="1" t="s">
        <v>74</v>
      </c>
      <c r="R366" s="3">
        <v>43809.0</v>
      </c>
      <c r="S366" s="1"/>
      <c r="T366" s="1">
        <v>5103056.0</v>
      </c>
      <c r="U366" s="1" t="s">
        <v>1877</v>
      </c>
      <c r="V366" s="1" t="s">
        <v>164</v>
      </c>
      <c r="W366" s="1" t="s">
        <v>177</v>
      </c>
      <c r="X366" s="1"/>
      <c r="Y366" s="1" t="str">
        <f>"02054002296201911"</f>
        <v>02054002296201911</v>
      </c>
      <c r="Z366" s="1" t="s">
        <v>147</v>
      </c>
      <c r="AA366" s="1" t="s">
        <v>1878</v>
      </c>
      <c r="AB366" s="1" t="str">
        <f>"***481499**"</f>
        <v>***481499**</v>
      </c>
      <c r="AC366" s="1"/>
      <c r="AD366" s="1"/>
      <c r="AE366" s="1"/>
      <c r="AF366" s="1">
        <v>-54.76889</v>
      </c>
      <c r="AG366" s="1">
        <v>-11.346666</v>
      </c>
      <c r="AH366" s="1" t="s">
        <v>1879</v>
      </c>
      <c r="AI366" s="1"/>
      <c r="AJ366" s="1" t="s">
        <v>336</v>
      </c>
      <c r="AK366" s="1"/>
      <c r="AL366" s="1" t="s">
        <v>79</v>
      </c>
      <c r="AM366" s="1" t="s">
        <v>65</v>
      </c>
      <c r="AN366" s="1" t="s">
        <v>337</v>
      </c>
      <c r="AO366" s="2">
        <v>44148.0</v>
      </c>
      <c r="AP366" s="2">
        <v>44148.7466087963</v>
      </c>
      <c r="AQ366" s="1" t="s">
        <v>80</v>
      </c>
      <c r="AR366" s="1" t="s">
        <v>421</v>
      </c>
      <c r="AS366" s="1"/>
      <c r="AT366" s="2">
        <v>44269.931099537</v>
      </c>
    </row>
    <row r="367" ht="13.5" customHeight="1">
      <c r="A367" s="1">
        <v>2043748.0</v>
      </c>
      <c r="B367" s="1" t="s">
        <v>67</v>
      </c>
      <c r="C367" s="1" t="s">
        <v>68</v>
      </c>
      <c r="D367" s="1" t="s">
        <v>46</v>
      </c>
      <c r="E367" s="1" t="s">
        <v>1880</v>
      </c>
      <c r="F367" s="1"/>
      <c r="G367" s="1" t="s">
        <v>70</v>
      </c>
      <c r="H367" s="1" t="s">
        <v>93</v>
      </c>
      <c r="I367" s="1">
        <v>10290.3</v>
      </c>
      <c r="J367" s="1"/>
      <c r="K367" s="1"/>
      <c r="L367" s="1" t="s">
        <v>628</v>
      </c>
      <c r="M367" s="1" t="s">
        <v>1881</v>
      </c>
      <c r="N367" s="1" t="s">
        <v>142</v>
      </c>
      <c r="O367" s="1" t="s">
        <v>143</v>
      </c>
      <c r="P367" s="2">
        <v>43810.5416666667</v>
      </c>
      <c r="Q367" s="1" t="s">
        <v>373</v>
      </c>
      <c r="R367" s="3">
        <v>43810.0</v>
      </c>
      <c r="S367" s="1"/>
      <c r="T367" s="1">
        <v>2921302.0</v>
      </c>
      <c r="U367" s="1" t="s">
        <v>1803</v>
      </c>
      <c r="V367" s="1" t="s">
        <v>632</v>
      </c>
      <c r="W367" s="1" t="s">
        <v>113</v>
      </c>
      <c r="X367" s="1"/>
      <c r="Y367" s="1" t="str">
        <f>"02006000486202194"</f>
        <v>02006000486202194</v>
      </c>
      <c r="Z367" s="1" t="s">
        <v>147</v>
      </c>
      <c r="AA367" s="1" t="s">
        <v>1882</v>
      </c>
      <c r="AB367" s="1" t="str">
        <f>"***709805**"</f>
        <v>***709805**</v>
      </c>
      <c r="AC367" s="1"/>
      <c r="AD367" s="1"/>
      <c r="AE367" s="1"/>
      <c r="AF367" s="1">
        <v>-39.698891</v>
      </c>
      <c r="AG367" s="1">
        <v>-12.8575</v>
      </c>
      <c r="AH367" s="1" t="s">
        <v>1883</v>
      </c>
      <c r="AI367" s="1"/>
      <c r="AJ367" s="1" t="s">
        <v>628</v>
      </c>
      <c r="AK367" s="1"/>
      <c r="AL367" s="1" t="s">
        <v>79</v>
      </c>
      <c r="AM367" s="1" t="s">
        <v>65</v>
      </c>
      <c r="AN367" s="1" t="s">
        <v>152</v>
      </c>
      <c r="AO367" s="2">
        <v>44251.0</v>
      </c>
      <c r="AP367" s="2">
        <v>44251.4444907407</v>
      </c>
      <c r="AQ367" s="1" t="s">
        <v>80</v>
      </c>
      <c r="AR367" s="1" t="s">
        <v>181</v>
      </c>
      <c r="AS367" s="1"/>
      <c r="AT367" s="2">
        <v>44269.931099537</v>
      </c>
    </row>
    <row r="368" ht="13.5" customHeight="1">
      <c r="A368" s="1"/>
      <c r="B368" s="1" t="s">
        <v>46</v>
      </c>
      <c r="C368" s="1" t="s">
        <v>47</v>
      </c>
      <c r="D368" s="1"/>
      <c r="E368" s="1" t="s">
        <v>1884</v>
      </c>
      <c r="F368" s="1"/>
      <c r="G368" s="1" t="s">
        <v>49</v>
      </c>
      <c r="H368" s="1" t="s">
        <v>93</v>
      </c>
      <c r="I368" s="1">
        <v>1500.0</v>
      </c>
      <c r="J368" s="1"/>
      <c r="K368" s="1" t="s">
        <v>51</v>
      </c>
      <c r="L368" s="1"/>
      <c r="M368" s="1" t="s">
        <v>1885</v>
      </c>
      <c r="N368" s="1" t="s">
        <v>1886</v>
      </c>
      <c r="O368" s="1" t="s">
        <v>1887</v>
      </c>
      <c r="P368" s="2">
        <v>43810.5395601852</v>
      </c>
      <c r="Q368" s="1" t="s">
        <v>74</v>
      </c>
      <c r="R368" s="3">
        <v>43812.0</v>
      </c>
      <c r="S368" s="1"/>
      <c r="T368" s="1">
        <v>4125704.0</v>
      </c>
      <c r="U368" s="1" t="s">
        <v>1888</v>
      </c>
      <c r="V368" s="1" t="s">
        <v>176</v>
      </c>
      <c r="W368" s="1" t="s">
        <v>59</v>
      </c>
      <c r="X368" s="1"/>
      <c r="Y368" s="1"/>
      <c r="Z368" s="1" t="s">
        <v>1889</v>
      </c>
      <c r="AA368" s="1" t="s">
        <v>1890</v>
      </c>
      <c r="AB368" s="1" t="str">
        <f>"***714809**"</f>
        <v>***714809**</v>
      </c>
      <c r="AC368" s="1"/>
      <c r="AD368" s="1" t="s">
        <v>62</v>
      </c>
      <c r="AE368" s="1"/>
      <c r="AF368" s="1">
        <v>-54.403889</v>
      </c>
      <c r="AG368" s="1">
        <v>-25.526945</v>
      </c>
      <c r="AH368" s="1" t="s">
        <v>1891</v>
      </c>
      <c r="AI368" s="1"/>
      <c r="AJ368" s="1" t="s">
        <v>358</v>
      </c>
      <c r="AK368" s="1"/>
      <c r="AL368" s="1"/>
      <c r="AM368" s="1" t="s">
        <v>65</v>
      </c>
      <c r="AN368" s="1" t="s">
        <v>359</v>
      </c>
      <c r="AO368" s="1"/>
      <c r="AP368" s="2">
        <v>43937.6972800926</v>
      </c>
      <c r="AQ368" s="1"/>
      <c r="AR368" s="1" t="s">
        <v>1892</v>
      </c>
      <c r="AS368" s="1"/>
      <c r="AT368" s="2">
        <v>44269.931099537</v>
      </c>
    </row>
    <row r="369" ht="13.5" customHeight="1">
      <c r="A369" s="1"/>
      <c r="B369" s="1" t="s">
        <v>46</v>
      </c>
      <c r="C369" s="1" t="s">
        <v>47</v>
      </c>
      <c r="D369" s="1"/>
      <c r="E369" s="1" t="s">
        <v>1893</v>
      </c>
      <c r="F369" s="1"/>
      <c r="G369" s="1" t="s">
        <v>49</v>
      </c>
      <c r="H369" s="1" t="s">
        <v>93</v>
      </c>
      <c r="I369" s="1">
        <v>5000.0</v>
      </c>
      <c r="J369" s="1"/>
      <c r="K369" s="1"/>
      <c r="L369" s="1"/>
      <c r="M369" s="1" t="s">
        <v>1894</v>
      </c>
      <c r="N369" s="1" t="s">
        <v>95</v>
      </c>
      <c r="O369" s="1" t="s">
        <v>96</v>
      </c>
      <c r="P369" s="2">
        <v>43810.5290277778</v>
      </c>
      <c r="Q369" s="1" t="s">
        <v>74</v>
      </c>
      <c r="R369" s="1"/>
      <c r="S369" s="1"/>
      <c r="T369" s="1">
        <v>3131307.0</v>
      </c>
      <c r="U369" s="1" t="s">
        <v>819</v>
      </c>
      <c r="V369" s="1" t="s">
        <v>126</v>
      </c>
      <c r="W369" s="1" t="s">
        <v>59</v>
      </c>
      <c r="X369" s="1"/>
      <c r="Y369" s="1"/>
      <c r="Z369" s="1" t="s">
        <v>98</v>
      </c>
      <c r="AA369" s="1" t="s">
        <v>1867</v>
      </c>
      <c r="AB369" s="1" t="str">
        <f>"***003696**"</f>
        <v>***003696**</v>
      </c>
      <c r="AC369" s="1"/>
      <c r="AD369" s="1" t="s">
        <v>149</v>
      </c>
      <c r="AE369" s="1"/>
      <c r="AF369" s="1">
        <v>-42.52</v>
      </c>
      <c r="AG369" s="1">
        <v>-19.464445</v>
      </c>
      <c r="AH369" s="1" t="s">
        <v>1895</v>
      </c>
      <c r="AI369" s="1"/>
      <c r="AJ369" s="1" t="s">
        <v>131</v>
      </c>
      <c r="AK369" s="1"/>
      <c r="AL369" s="1"/>
      <c r="AM369" s="1" t="s">
        <v>65</v>
      </c>
      <c r="AN369" s="1" t="s">
        <v>132</v>
      </c>
      <c r="AO369" s="1"/>
      <c r="AP369" s="2">
        <v>43810.5457175926</v>
      </c>
      <c r="AQ369" s="1"/>
      <c r="AR369" s="1" t="s">
        <v>229</v>
      </c>
      <c r="AS369" s="1"/>
      <c r="AT369" s="2">
        <v>44269.931099537</v>
      </c>
    </row>
    <row r="370" ht="13.5" customHeight="1">
      <c r="A370" s="1"/>
      <c r="B370" s="1" t="s">
        <v>46</v>
      </c>
      <c r="C370" s="1" t="s">
        <v>47</v>
      </c>
      <c r="D370" s="1"/>
      <c r="E370" s="1" t="s">
        <v>1896</v>
      </c>
      <c r="F370" s="1"/>
      <c r="G370" s="1" t="s">
        <v>49</v>
      </c>
      <c r="H370" s="1" t="s">
        <v>50</v>
      </c>
      <c r="I370" s="1">
        <v>100000.0</v>
      </c>
      <c r="J370" s="1"/>
      <c r="K370" s="1" t="s">
        <v>51</v>
      </c>
      <c r="L370" s="1"/>
      <c r="M370" s="1" t="s">
        <v>1897</v>
      </c>
      <c r="N370" s="1" t="s">
        <v>283</v>
      </c>
      <c r="O370" s="1" t="s">
        <v>1133</v>
      </c>
      <c r="P370" s="2">
        <v>43810.52125</v>
      </c>
      <c r="Q370" s="1" t="s">
        <v>74</v>
      </c>
      <c r="R370" s="1"/>
      <c r="S370" s="1"/>
      <c r="T370" s="1">
        <v>3302403.0</v>
      </c>
      <c r="U370" s="1" t="s">
        <v>1371</v>
      </c>
      <c r="V370" s="1" t="s">
        <v>287</v>
      </c>
      <c r="W370" s="1" t="s">
        <v>288</v>
      </c>
      <c r="X370" s="1"/>
      <c r="Y370" s="1"/>
      <c r="Z370" s="1" t="s">
        <v>128</v>
      </c>
      <c r="AA370" s="1" t="s">
        <v>289</v>
      </c>
      <c r="AB370" s="1" t="str">
        <f>"33000167000101"</f>
        <v>33000167000101</v>
      </c>
      <c r="AC370" s="1"/>
      <c r="AD370" s="1" t="s">
        <v>149</v>
      </c>
      <c r="AE370" s="1"/>
      <c r="AF370" s="1">
        <v>-40.329445</v>
      </c>
      <c r="AG370" s="1">
        <v>-22.254999</v>
      </c>
      <c r="AH370" s="1" t="s">
        <v>1898</v>
      </c>
      <c r="AI370" s="1"/>
      <c r="AJ370" s="1" t="s">
        <v>172</v>
      </c>
      <c r="AK370" s="1"/>
      <c r="AL370" s="1"/>
      <c r="AM370" s="1" t="s">
        <v>65</v>
      </c>
      <c r="AN370" s="1" t="s">
        <v>720</v>
      </c>
      <c r="AO370" s="1"/>
      <c r="AP370" s="2">
        <v>44013.7176736111</v>
      </c>
      <c r="AQ370" s="1"/>
      <c r="AR370" s="1" t="s">
        <v>1360</v>
      </c>
      <c r="AS370" s="1" t="s">
        <v>1361</v>
      </c>
      <c r="AT370" s="2">
        <v>44269.931099537</v>
      </c>
    </row>
    <row r="371" ht="13.5" customHeight="1">
      <c r="A371" s="1"/>
      <c r="B371" s="1" t="s">
        <v>46</v>
      </c>
      <c r="C371" s="1" t="s">
        <v>47</v>
      </c>
      <c r="D371" s="1"/>
      <c r="E371" s="1" t="s">
        <v>1899</v>
      </c>
      <c r="F371" s="1"/>
      <c r="G371" s="1" t="s">
        <v>49</v>
      </c>
      <c r="H371" s="1" t="s">
        <v>93</v>
      </c>
      <c r="I371" s="1">
        <v>687.0</v>
      </c>
      <c r="J371" s="1"/>
      <c r="K371" s="1"/>
      <c r="L371" s="1"/>
      <c r="M371" s="1" t="s">
        <v>1900</v>
      </c>
      <c r="N371" s="1" t="s">
        <v>142</v>
      </c>
      <c r="O371" s="1" t="s">
        <v>143</v>
      </c>
      <c r="P371" s="2">
        <v>43810.5205208333</v>
      </c>
      <c r="Q371" s="1" t="s">
        <v>55</v>
      </c>
      <c r="R371" s="1"/>
      <c r="S371" s="1"/>
      <c r="T371" s="1">
        <v>2800308.0</v>
      </c>
      <c r="U371" s="1" t="s">
        <v>1901</v>
      </c>
      <c r="V371" s="1" t="s">
        <v>566</v>
      </c>
      <c r="W371" s="1" t="s">
        <v>177</v>
      </c>
      <c r="X371" s="1"/>
      <c r="Y371" s="1"/>
      <c r="Z371" s="1" t="s">
        <v>147</v>
      </c>
      <c r="AA371" s="1" t="s">
        <v>1902</v>
      </c>
      <c r="AB371" s="1" t="str">
        <f>"20637409000120"</f>
        <v>20637409000120</v>
      </c>
      <c r="AC371" s="1"/>
      <c r="AD371" s="1" t="s">
        <v>149</v>
      </c>
      <c r="AE371" s="1"/>
      <c r="AF371" s="1">
        <v>-37.097778</v>
      </c>
      <c r="AG371" s="1">
        <v>-10.910277</v>
      </c>
      <c r="AH371" s="1" t="s">
        <v>1903</v>
      </c>
      <c r="AI371" s="1"/>
      <c r="AJ371" s="1" t="s">
        <v>569</v>
      </c>
      <c r="AK371" s="1"/>
      <c r="AL371" s="1"/>
      <c r="AM371" s="1" t="s">
        <v>65</v>
      </c>
      <c r="AN371" s="1" t="s">
        <v>570</v>
      </c>
      <c r="AO371" s="1"/>
      <c r="AP371" s="2">
        <v>43810.5330324074</v>
      </c>
      <c r="AQ371" s="1"/>
      <c r="AR371" s="1" t="s">
        <v>280</v>
      </c>
      <c r="AS371" s="1"/>
      <c r="AT371" s="2">
        <v>44269.931099537</v>
      </c>
    </row>
    <row r="372" ht="13.5" customHeight="1">
      <c r="A372" s="1"/>
      <c r="B372" s="1" t="s">
        <v>46</v>
      </c>
      <c r="C372" s="1" t="s">
        <v>47</v>
      </c>
      <c r="D372" s="1"/>
      <c r="E372" s="1" t="s">
        <v>1904</v>
      </c>
      <c r="F372" s="1"/>
      <c r="G372" s="1" t="s">
        <v>49</v>
      </c>
      <c r="H372" s="1" t="s">
        <v>93</v>
      </c>
      <c r="I372" s="1">
        <v>10000.0</v>
      </c>
      <c r="J372" s="1"/>
      <c r="K372" s="1" t="s">
        <v>51</v>
      </c>
      <c r="L372" s="1"/>
      <c r="M372" s="1" t="s">
        <v>1905</v>
      </c>
      <c r="N372" s="1" t="s">
        <v>977</v>
      </c>
      <c r="O372" s="1" t="s">
        <v>978</v>
      </c>
      <c r="P372" s="2">
        <v>43810.5143865741</v>
      </c>
      <c r="Q372" s="1" t="s">
        <v>373</v>
      </c>
      <c r="R372" s="1"/>
      <c r="S372" s="1"/>
      <c r="T372" s="1">
        <v>2513703.0</v>
      </c>
      <c r="U372" s="1" t="s">
        <v>1682</v>
      </c>
      <c r="V372" s="1" t="s">
        <v>728</v>
      </c>
      <c r="W372" s="1" t="s">
        <v>59</v>
      </c>
      <c r="X372" s="1"/>
      <c r="Y372" s="1"/>
      <c r="Z372" s="1" t="s">
        <v>980</v>
      </c>
      <c r="AA372" s="1" t="s">
        <v>1906</v>
      </c>
      <c r="AB372" s="1" t="str">
        <f>"09357997000106"</f>
        <v>09357997000106</v>
      </c>
      <c r="AC372" s="1"/>
      <c r="AD372" s="1" t="s">
        <v>62</v>
      </c>
      <c r="AE372" s="1"/>
      <c r="AF372" s="1">
        <v>-35.158333</v>
      </c>
      <c r="AG372" s="1">
        <v>-7.089722</v>
      </c>
      <c r="AH372" s="1" t="s">
        <v>1907</v>
      </c>
      <c r="AI372" s="1"/>
      <c r="AJ372" s="1" t="s">
        <v>731</v>
      </c>
      <c r="AK372" s="1"/>
      <c r="AL372" s="1"/>
      <c r="AM372" s="1" t="s">
        <v>65</v>
      </c>
      <c r="AN372" s="1" t="s">
        <v>1551</v>
      </c>
      <c r="AO372" s="1"/>
      <c r="AP372" s="2">
        <v>43810.5213310185</v>
      </c>
      <c r="AQ372" s="1"/>
      <c r="AR372" s="1" t="s">
        <v>1756</v>
      </c>
      <c r="AS372" s="1" t="s">
        <v>1908</v>
      </c>
      <c r="AT372" s="2">
        <v>44269.931099537</v>
      </c>
    </row>
    <row r="373" ht="13.5" customHeight="1">
      <c r="A373" s="1">
        <v>2034468.0</v>
      </c>
      <c r="B373" s="1" t="s">
        <v>67</v>
      </c>
      <c r="C373" s="1" t="s">
        <v>68</v>
      </c>
      <c r="D373" s="1" t="s">
        <v>46</v>
      </c>
      <c r="E373" s="1" t="s">
        <v>1909</v>
      </c>
      <c r="F373" s="1"/>
      <c r="G373" s="1" t="s">
        <v>70</v>
      </c>
      <c r="H373" s="1" t="s">
        <v>93</v>
      </c>
      <c r="I373" s="1">
        <v>10500.0</v>
      </c>
      <c r="J373" s="1"/>
      <c r="K373" s="1"/>
      <c r="L373" s="1" t="s">
        <v>106</v>
      </c>
      <c r="M373" s="1" t="s">
        <v>1910</v>
      </c>
      <c r="N373" s="1" t="s">
        <v>95</v>
      </c>
      <c r="O373" s="1" t="s">
        <v>96</v>
      </c>
      <c r="P373" s="2">
        <v>43810.5104166667</v>
      </c>
      <c r="Q373" s="1" t="s">
        <v>373</v>
      </c>
      <c r="R373" s="1"/>
      <c r="S373" s="1"/>
      <c r="T373" s="1">
        <v>2309409.0</v>
      </c>
      <c r="U373" s="1" t="s">
        <v>1847</v>
      </c>
      <c r="V373" s="1" t="s">
        <v>112</v>
      </c>
      <c r="W373" s="1" t="s">
        <v>113</v>
      </c>
      <c r="X373" s="1"/>
      <c r="Y373" s="1" t="str">
        <f>"02007004073201954"</f>
        <v>02007004073201954</v>
      </c>
      <c r="Z373" s="1" t="s">
        <v>1267</v>
      </c>
      <c r="AA373" s="1" t="s">
        <v>1911</v>
      </c>
      <c r="AB373" s="1" t="str">
        <f>"***435663**"</f>
        <v>***435663**</v>
      </c>
      <c r="AC373" s="1"/>
      <c r="AD373" s="1" t="s">
        <v>116</v>
      </c>
      <c r="AE373" s="1"/>
      <c r="AF373" s="1">
        <v>0.0</v>
      </c>
      <c r="AG373" s="1">
        <v>0.0</v>
      </c>
      <c r="AH373" s="1" t="s">
        <v>1269</v>
      </c>
      <c r="AI373" s="1"/>
      <c r="AJ373" s="1"/>
      <c r="AK373" s="1" t="s">
        <v>1912</v>
      </c>
      <c r="AL373" s="1" t="s">
        <v>79</v>
      </c>
      <c r="AM373" s="1"/>
      <c r="AN373" s="1"/>
      <c r="AO373" s="2">
        <v>43873.7023263889</v>
      </c>
      <c r="AP373" s="2">
        <v>43873.7023263889</v>
      </c>
      <c r="AQ373" s="1" t="s">
        <v>80</v>
      </c>
      <c r="AR373" s="1" t="s">
        <v>1913</v>
      </c>
      <c r="AS373" s="1"/>
      <c r="AT373" s="2">
        <v>44269.931099537</v>
      </c>
    </row>
    <row r="374" ht="13.5" customHeight="1">
      <c r="A374" s="1">
        <v>2039221.0</v>
      </c>
      <c r="B374" s="1" t="s">
        <v>67</v>
      </c>
      <c r="C374" s="1" t="s">
        <v>68</v>
      </c>
      <c r="D374" s="1" t="s">
        <v>46</v>
      </c>
      <c r="E374" s="1" t="s">
        <v>1914</v>
      </c>
      <c r="F374" s="1"/>
      <c r="G374" s="1" t="s">
        <v>70</v>
      </c>
      <c r="H374" s="1" t="s">
        <v>50</v>
      </c>
      <c r="I374" s="1">
        <v>500.0</v>
      </c>
      <c r="J374" s="1"/>
      <c r="K374" s="1"/>
      <c r="L374" s="1" t="s">
        <v>1040</v>
      </c>
      <c r="M374" s="1" t="s">
        <v>1915</v>
      </c>
      <c r="N374" s="1" t="s">
        <v>72</v>
      </c>
      <c r="O374" s="1" t="s">
        <v>213</v>
      </c>
      <c r="P374" s="2">
        <v>43810.5</v>
      </c>
      <c r="Q374" s="1" t="s">
        <v>55</v>
      </c>
      <c r="R374" s="1"/>
      <c r="S374" s="1"/>
      <c r="T374" s="1">
        <v>2601102.0</v>
      </c>
      <c r="U374" s="1" t="s">
        <v>1276</v>
      </c>
      <c r="V374" s="1" t="s">
        <v>1037</v>
      </c>
      <c r="W374" s="1" t="s">
        <v>113</v>
      </c>
      <c r="X374" s="1"/>
      <c r="Y374" s="1" t="str">
        <f>"02019001804202012"</f>
        <v>02019001804202012</v>
      </c>
      <c r="Z374" s="1" t="s">
        <v>215</v>
      </c>
      <c r="AA374" s="1" t="s">
        <v>1916</v>
      </c>
      <c r="AB374" s="1" t="str">
        <f>"31301428000106"</f>
        <v>31301428000106</v>
      </c>
      <c r="AC374" s="1"/>
      <c r="AD374" s="1"/>
      <c r="AE374" s="1"/>
      <c r="AF374" s="1">
        <v>-40.506668</v>
      </c>
      <c r="AG374" s="1">
        <v>-7.609444</v>
      </c>
      <c r="AH374" s="1" t="s">
        <v>1917</v>
      </c>
      <c r="AI374" s="1"/>
      <c r="AJ374" s="1" t="s">
        <v>1040</v>
      </c>
      <c r="AK374" s="1"/>
      <c r="AL374" s="1" t="s">
        <v>79</v>
      </c>
      <c r="AM374" s="1" t="s">
        <v>65</v>
      </c>
      <c r="AN374" s="1" t="s">
        <v>1279</v>
      </c>
      <c r="AO374" s="2">
        <v>44056.0</v>
      </c>
      <c r="AP374" s="2">
        <v>44056.5128472222</v>
      </c>
      <c r="AQ374" s="1" t="s">
        <v>80</v>
      </c>
      <c r="AR374" s="1" t="s">
        <v>909</v>
      </c>
      <c r="AS374" s="1"/>
      <c r="AT374" s="2">
        <v>44269.931099537</v>
      </c>
    </row>
    <row r="375" ht="13.5" customHeight="1">
      <c r="A375" s="1">
        <v>2040000.0</v>
      </c>
      <c r="B375" s="1" t="s">
        <v>67</v>
      </c>
      <c r="C375" s="1" t="s">
        <v>68</v>
      </c>
      <c r="D375" s="1" t="s">
        <v>46</v>
      </c>
      <c r="E375" s="1" t="s">
        <v>1918</v>
      </c>
      <c r="F375" s="1"/>
      <c r="G375" s="1" t="s">
        <v>70</v>
      </c>
      <c r="H375" s="1" t="s">
        <v>50</v>
      </c>
      <c r="I375" s="1">
        <v>100000.0</v>
      </c>
      <c r="J375" s="1"/>
      <c r="K375" s="1"/>
      <c r="L375" s="1" t="s">
        <v>172</v>
      </c>
      <c r="M375" s="1" t="s">
        <v>1919</v>
      </c>
      <c r="N375" s="1" t="s">
        <v>283</v>
      </c>
      <c r="O375" s="1" t="s">
        <v>1133</v>
      </c>
      <c r="P375" s="2">
        <v>43810.5</v>
      </c>
      <c r="Q375" s="1" t="s">
        <v>74</v>
      </c>
      <c r="R375" s="1"/>
      <c r="S375" s="1"/>
      <c r="T375" s="1">
        <v>3302403.0</v>
      </c>
      <c r="U375" s="1" t="s">
        <v>1371</v>
      </c>
      <c r="V375" s="1" t="s">
        <v>287</v>
      </c>
      <c r="W375" s="1" t="s">
        <v>288</v>
      </c>
      <c r="X375" s="1"/>
      <c r="Y375" s="1" t="str">
        <f>"02001035767201993"</f>
        <v>02001035767201993</v>
      </c>
      <c r="Z375" s="1" t="s">
        <v>128</v>
      </c>
      <c r="AA375" s="1" t="s">
        <v>1449</v>
      </c>
      <c r="AB375" s="1" t="str">
        <f>"33000167100750"</f>
        <v>33000167100750</v>
      </c>
      <c r="AC375" s="1"/>
      <c r="AD375" s="1"/>
      <c r="AE375" s="1"/>
      <c r="AF375" s="1">
        <v>-40.47028</v>
      </c>
      <c r="AG375" s="1">
        <v>-22.464724</v>
      </c>
      <c r="AH375" s="1" t="s">
        <v>1527</v>
      </c>
      <c r="AI375" s="1"/>
      <c r="AJ375" s="1" t="s">
        <v>172</v>
      </c>
      <c r="AK375" s="1"/>
      <c r="AL375" s="1" t="s">
        <v>79</v>
      </c>
      <c r="AM375" s="1" t="s">
        <v>65</v>
      </c>
      <c r="AN375" s="1" t="s">
        <v>720</v>
      </c>
      <c r="AO375" s="2">
        <v>44083.0</v>
      </c>
      <c r="AP375" s="2">
        <v>44083.4918518519</v>
      </c>
      <c r="AQ375" s="1" t="s">
        <v>80</v>
      </c>
      <c r="AR375" s="1" t="s">
        <v>1485</v>
      </c>
      <c r="AS375" s="1" t="s">
        <v>1361</v>
      </c>
      <c r="AT375" s="2">
        <v>44269.931099537</v>
      </c>
    </row>
    <row r="376" ht="13.5" customHeight="1">
      <c r="A376" s="1"/>
      <c r="B376" s="1" t="s">
        <v>46</v>
      </c>
      <c r="C376" s="1" t="s">
        <v>47</v>
      </c>
      <c r="D376" s="1"/>
      <c r="E376" s="1" t="s">
        <v>1920</v>
      </c>
      <c r="F376" s="1"/>
      <c r="G376" s="1" t="s">
        <v>49</v>
      </c>
      <c r="H376" s="1" t="s">
        <v>50</v>
      </c>
      <c r="I376" s="1">
        <v>100000.0</v>
      </c>
      <c r="J376" s="1"/>
      <c r="K376" s="1" t="s">
        <v>51</v>
      </c>
      <c r="L376" s="1"/>
      <c r="M376" s="1" t="s">
        <v>1921</v>
      </c>
      <c r="N376" s="1" t="s">
        <v>283</v>
      </c>
      <c r="O376" s="1" t="s">
        <v>1133</v>
      </c>
      <c r="P376" s="2">
        <v>43810.4959837963</v>
      </c>
      <c r="Q376" s="1" t="s">
        <v>74</v>
      </c>
      <c r="R376" s="1"/>
      <c r="S376" s="1"/>
      <c r="T376" s="1">
        <v>3302403.0</v>
      </c>
      <c r="U376" s="1" t="s">
        <v>1371</v>
      </c>
      <c r="V376" s="1" t="s">
        <v>287</v>
      </c>
      <c r="W376" s="1" t="s">
        <v>288</v>
      </c>
      <c r="X376" s="1"/>
      <c r="Y376" s="1"/>
      <c r="Z376" s="1" t="s">
        <v>128</v>
      </c>
      <c r="AA376" s="1" t="s">
        <v>289</v>
      </c>
      <c r="AB376" s="1" t="str">
        <f>"33000167000101"</f>
        <v>33000167000101</v>
      </c>
      <c r="AC376" s="1"/>
      <c r="AD376" s="1" t="s">
        <v>149</v>
      </c>
      <c r="AE376" s="1"/>
      <c r="AF376" s="1">
        <v>-40.329445</v>
      </c>
      <c r="AG376" s="1">
        <v>-22.254999</v>
      </c>
      <c r="AH376" s="1" t="s">
        <v>1484</v>
      </c>
      <c r="AI376" s="1"/>
      <c r="AJ376" s="1" t="s">
        <v>172</v>
      </c>
      <c r="AK376" s="1"/>
      <c r="AL376" s="1"/>
      <c r="AM376" s="1" t="s">
        <v>65</v>
      </c>
      <c r="AN376" s="1" t="s">
        <v>720</v>
      </c>
      <c r="AO376" s="1"/>
      <c r="AP376" s="2">
        <v>44013.7177662037</v>
      </c>
      <c r="AQ376" s="1"/>
      <c r="AR376" s="1" t="s">
        <v>1360</v>
      </c>
      <c r="AS376" s="1" t="s">
        <v>1361</v>
      </c>
      <c r="AT376" s="2">
        <v>44269.931099537</v>
      </c>
    </row>
    <row r="377" ht="13.5" customHeight="1">
      <c r="A377" s="1"/>
      <c r="B377" s="1" t="s">
        <v>46</v>
      </c>
      <c r="C377" s="1" t="s">
        <v>47</v>
      </c>
      <c r="D377" s="1"/>
      <c r="E377" s="1" t="s">
        <v>1922</v>
      </c>
      <c r="F377" s="1"/>
      <c r="G377" s="1" t="s">
        <v>49</v>
      </c>
      <c r="H377" s="1" t="s">
        <v>50</v>
      </c>
      <c r="I377" s="1">
        <v>500500.0</v>
      </c>
      <c r="J377" s="1"/>
      <c r="K377" s="1" t="s">
        <v>51</v>
      </c>
      <c r="L377" s="1"/>
      <c r="M377" s="1" t="s">
        <v>1923</v>
      </c>
      <c r="N377" s="1" t="s">
        <v>212</v>
      </c>
      <c r="O377" s="1" t="s">
        <v>213</v>
      </c>
      <c r="P377" s="2">
        <v>43810.488912037</v>
      </c>
      <c r="Q377" s="1" t="s">
        <v>74</v>
      </c>
      <c r="R377" s="1"/>
      <c r="S377" s="1"/>
      <c r="T377" s="1">
        <v>5300108.0</v>
      </c>
      <c r="U377" s="1" t="s">
        <v>1541</v>
      </c>
      <c r="V377" s="1" t="s">
        <v>1542</v>
      </c>
      <c r="W377" s="1" t="s">
        <v>59</v>
      </c>
      <c r="X377" s="1"/>
      <c r="Y377" s="1"/>
      <c r="Z377" s="1" t="s">
        <v>215</v>
      </c>
      <c r="AA377" s="1" t="s">
        <v>1924</v>
      </c>
      <c r="AB377" s="1" t="str">
        <f>"33146648000120"</f>
        <v>33146648000120</v>
      </c>
      <c r="AC377" s="1"/>
      <c r="AD377" s="1" t="s">
        <v>149</v>
      </c>
      <c r="AE377" s="1"/>
      <c r="AF377" s="1">
        <v>-47.861942</v>
      </c>
      <c r="AG377" s="1">
        <v>-15.767222</v>
      </c>
      <c r="AH377" s="1" t="s">
        <v>1544</v>
      </c>
      <c r="AI377" s="1"/>
      <c r="AJ377" s="1" t="s">
        <v>172</v>
      </c>
      <c r="AK377" s="1"/>
      <c r="AL377" s="1"/>
      <c r="AM377" s="1" t="s">
        <v>65</v>
      </c>
      <c r="AN377" s="1" t="s">
        <v>720</v>
      </c>
      <c r="AO377" s="1"/>
      <c r="AP377" s="2">
        <v>43810.4976736111</v>
      </c>
      <c r="AQ377" s="1"/>
      <c r="AR377" s="1" t="s">
        <v>721</v>
      </c>
      <c r="AS377" s="1" t="s">
        <v>1545</v>
      </c>
      <c r="AT377" s="2">
        <v>44269.931099537</v>
      </c>
    </row>
    <row r="378" ht="13.5" customHeight="1">
      <c r="A378" s="1">
        <v>2034715.0</v>
      </c>
      <c r="B378" s="1" t="s">
        <v>67</v>
      </c>
      <c r="C378" s="1" t="s">
        <v>68</v>
      </c>
      <c r="D378" s="1" t="s">
        <v>46</v>
      </c>
      <c r="E378" s="1" t="s">
        <v>1925</v>
      </c>
      <c r="F378" s="1"/>
      <c r="G378" s="1" t="s">
        <v>70</v>
      </c>
      <c r="H378" s="1" t="s">
        <v>93</v>
      </c>
      <c r="I378" s="1">
        <v>500.0</v>
      </c>
      <c r="J378" s="1"/>
      <c r="K378" s="1"/>
      <c r="L378" s="1" t="s">
        <v>64</v>
      </c>
      <c r="M378" s="1" t="s">
        <v>1926</v>
      </c>
      <c r="N378" s="1" t="s">
        <v>95</v>
      </c>
      <c r="O378" s="1" t="s">
        <v>96</v>
      </c>
      <c r="P378" s="2">
        <v>43810.4583333333</v>
      </c>
      <c r="Q378" s="1" t="s">
        <v>74</v>
      </c>
      <c r="R378" s="3">
        <v>43809.0</v>
      </c>
      <c r="S378" s="1"/>
      <c r="T378" s="1">
        <v>3549805.0</v>
      </c>
      <c r="U378" s="1" t="s">
        <v>1927</v>
      </c>
      <c r="V378" s="1" t="s">
        <v>58</v>
      </c>
      <c r="W378" s="1" t="s">
        <v>59</v>
      </c>
      <c r="X378" s="1"/>
      <c r="Y378" s="1" t="str">
        <f>"02027021803201943"</f>
        <v>02027021803201943</v>
      </c>
      <c r="Z378" s="1" t="s">
        <v>98</v>
      </c>
      <c r="AA378" s="1" t="s">
        <v>1928</v>
      </c>
      <c r="AB378" s="1" t="str">
        <f>"***530028**"</f>
        <v>***530028**</v>
      </c>
      <c r="AC378" s="1"/>
      <c r="AD378" s="1"/>
      <c r="AE378" s="1"/>
      <c r="AF378" s="1">
        <v>-49.355278</v>
      </c>
      <c r="AG378" s="1">
        <v>-20.791666</v>
      </c>
      <c r="AH378" s="1" t="s">
        <v>1929</v>
      </c>
      <c r="AI378" s="1"/>
      <c r="AJ378" s="1" t="s">
        <v>64</v>
      </c>
      <c r="AK378" s="1"/>
      <c r="AL378" s="1" t="s">
        <v>79</v>
      </c>
      <c r="AM378" s="1" t="s">
        <v>65</v>
      </c>
      <c r="AN378" s="1"/>
      <c r="AO378" s="2">
        <v>43889.0</v>
      </c>
      <c r="AP378" s="2">
        <v>43889.5927430556</v>
      </c>
      <c r="AQ378" s="1" t="s">
        <v>80</v>
      </c>
      <c r="AR378" s="1" t="s">
        <v>953</v>
      </c>
      <c r="AS378" s="1" t="s">
        <v>1930</v>
      </c>
      <c r="AT378" s="2">
        <v>44269.931099537</v>
      </c>
    </row>
    <row r="379" ht="13.5" customHeight="1">
      <c r="A379" s="1">
        <v>2034716.0</v>
      </c>
      <c r="B379" s="1" t="s">
        <v>67</v>
      </c>
      <c r="C379" s="1" t="s">
        <v>68</v>
      </c>
      <c r="D379" s="1" t="s">
        <v>46</v>
      </c>
      <c r="E379" s="1" t="s">
        <v>1931</v>
      </c>
      <c r="F379" s="1"/>
      <c r="G379" s="1" t="s">
        <v>70</v>
      </c>
      <c r="H379" s="1" t="s">
        <v>93</v>
      </c>
      <c r="I379" s="1">
        <v>500.0</v>
      </c>
      <c r="J379" s="1"/>
      <c r="K379" s="1"/>
      <c r="L379" s="1" t="s">
        <v>64</v>
      </c>
      <c r="M379" s="1" t="s">
        <v>1932</v>
      </c>
      <c r="N379" s="1" t="s">
        <v>95</v>
      </c>
      <c r="O379" s="1" t="s">
        <v>96</v>
      </c>
      <c r="P379" s="2">
        <v>43810.4583333333</v>
      </c>
      <c r="Q379" s="1" t="s">
        <v>74</v>
      </c>
      <c r="R379" s="3">
        <v>43809.0</v>
      </c>
      <c r="S379" s="1"/>
      <c r="T379" s="1">
        <v>3549805.0</v>
      </c>
      <c r="U379" s="1" t="s">
        <v>1927</v>
      </c>
      <c r="V379" s="1" t="s">
        <v>58</v>
      </c>
      <c r="W379" s="1" t="s">
        <v>59</v>
      </c>
      <c r="X379" s="1"/>
      <c r="Y379" s="1" t="str">
        <f>"02027021810201945"</f>
        <v>02027021810201945</v>
      </c>
      <c r="Z379" s="1" t="s">
        <v>98</v>
      </c>
      <c r="AA379" s="1" t="s">
        <v>1933</v>
      </c>
      <c r="AB379" s="1" t="str">
        <f>"***553448**"</f>
        <v>***553448**</v>
      </c>
      <c r="AC379" s="1"/>
      <c r="AD379" s="1"/>
      <c r="AE379" s="1"/>
      <c r="AF379" s="1">
        <v>-49.355278</v>
      </c>
      <c r="AG379" s="1">
        <v>-20.791666</v>
      </c>
      <c r="AH379" s="1" t="s">
        <v>1929</v>
      </c>
      <c r="AI379" s="1"/>
      <c r="AJ379" s="1" t="s">
        <v>64</v>
      </c>
      <c r="AK379" s="1"/>
      <c r="AL379" s="1" t="s">
        <v>79</v>
      </c>
      <c r="AM379" s="1" t="s">
        <v>65</v>
      </c>
      <c r="AN379" s="1"/>
      <c r="AO379" s="2">
        <v>43889.0</v>
      </c>
      <c r="AP379" s="2">
        <v>43889.5928587963</v>
      </c>
      <c r="AQ379" s="1" t="s">
        <v>80</v>
      </c>
      <c r="AR379" s="1" t="s">
        <v>953</v>
      </c>
      <c r="AS379" s="1" t="s">
        <v>1930</v>
      </c>
      <c r="AT379" s="2">
        <v>44269.931099537</v>
      </c>
    </row>
    <row r="380" ht="13.5" customHeight="1">
      <c r="A380" s="1">
        <v>2035612.0</v>
      </c>
      <c r="B380" s="1" t="s">
        <v>67</v>
      </c>
      <c r="C380" s="1" t="s">
        <v>68</v>
      </c>
      <c r="D380" s="1" t="s">
        <v>46</v>
      </c>
      <c r="E380" s="1" t="s">
        <v>1934</v>
      </c>
      <c r="F380" s="1"/>
      <c r="G380" s="1" t="s">
        <v>70</v>
      </c>
      <c r="H380" s="1" t="s">
        <v>93</v>
      </c>
      <c r="I380" s="1">
        <v>9240.0</v>
      </c>
      <c r="J380" s="1"/>
      <c r="K380" s="1"/>
      <c r="L380" s="1" t="s">
        <v>501</v>
      </c>
      <c r="M380" s="1" t="s">
        <v>1935</v>
      </c>
      <c r="N380" s="1" t="s">
        <v>142</v>
      </c>
      <c r="O380" s="1" t="s">
        <v>143</v>
      </c>
      <c r="P380" s="2">
        <v>43810.4583333333</v>
      </c>
      <c r="Q380" s="1" t="s">
        <v>55</v>
      </c>
      <c r="R380" s="3">
        <v>43810.0</v>
      </c>
      <c r="S380" s="1"/>
      <c r="T380" s="1">
        <v>2408102.0</v>
      </c>
      <c r="U380" s="1" t="s">
        <v>1423</v>
      </c>
      <c r="V380" s="1" t="s">
        <v>1424</v>
      </c>
      <c r="W380" s="1" t="s">
        <v>59</v>
      </c>
      <c r="X380" s="1"/>
      <c r="Y380" s="1" t="str">
        <f>"02021002246201911"</f>
        <v>02021002246201911</v>
      </c>
      <c r="Z380" s="1" t="s">
        <v>147</v>
      </c>
      <c r="AA380" s="1" t="s">
        <v>1936</v>
      </c>
      <c r="AB380" s="1" t="str">
        <f>"***719474**"</f>
        <v>***719474**</v>
      </c>
      <c r="AC380" s="1"/>
      <c r="AD380" s="1"/>
      <c r="AE380" s="1"/>
      <c r="AF380" s="1">
        <v>-35.250832</v>
      </c>
      <c r="AG380" s="1">
        <v>-5.761111</v>
      </c>
      <c r="AH380" s="1" t="s">
        <v>1937</v>
      </c>
      <c r="AI380" s="1"/>
      <c r="AJ380" s="1" t="s">
        <v>501</v>
      </c>
      <c r="AK380" s="1"/>
      <c r="AL380" s="1" t="s">
        <v>79</v>
      </c>
      <c r="AM380" s="1" t="s">
        <v>65</v>
      </c>
      <c r="AN380" s="1" t="s">
        <v>1427</v>
      </c>
      <c r="AO380" s="2">
        <v>43909.0</v>
      </c>
      <c r="AP380" s="2">
        <v>43909.7255671296</v>
      </c>
      <c r="AQ380" s="1" t="s">
        <v>80</v>
      </c>
      <c r="AR380" s="1" t="s">
        <v>379</v>
      </c>
      <c r="AS380" s="1"/>
      <c r="AT380" s="2">
        <v>44269.931099537</v>
      </c>
    </row>
    <row r="381" ht="13.5" customHeight="1">
      <c r="A381" s="1">
        <v>2040159.0</v>
      </c>
      <c r="B381" s="1" t="s">
        <v>67</v>
      </c>
      <c r="C381" s="1" t="s">
        <v>68</v>
      </c>
      <c r="D381" s="1" t="s">
        <v>46</v>
      </c>
      <c r="E381" s="1" t="s">
        <v>1938</v>
      </c>
      <c r="F381" s="1"/>
      <c r="G381" s="1" t="s">
        <v>70</v>
      </c>
      <c r="H381" s="1" t="s">
        <v>93</v>
      </c>
      <c r="I381" s="1">
        <v>67500.0</v>
      </c>
      <c r="J381" s="1"/>
      <c r="K381" s="1"/>
      <c r="L381" s="1" t="s">
        <v>1172</v>
      </c>
      <c r="M381" s="1" t="s">
        <v>1939</v>
      </c>
      <c r="N381" s="1" t="s">
        <v>142</v>
      </c>
      <c r="O381" s="1" t="s">
        <v>143</v>
      </c>
      <c r="P381" s="2">
        <v>43810.4583333333</v>
      </c>
      <c r="Q381" s="1" t="s">
        <v>373</v>
      </c>
      <c r="R381" s="3">
        <v>43810.0</v>
      </c>
      <c r="S381" s="1"/>
      <c r="T381" s="1">
        <v>1504208.0</v>
      </c>
      <c r="U381" s="1" t="s">
        <v>1940</v>
      </c>
      <c r="V381" s="1" t="s">
        <v>193</v>
      </c>
      <c r="W381" s="1" t="s">
        <v>177</v>
      </c>
      <c r="X381" s="1"/>
      <c r="Y381" s="1"/>
      <c r="Z381" s="1" t="s">
        <v>147</v>
      </c>
      <c r="AA381" s="1" t="s">
        <v>1941</v>
      </c>
      <c r="AB381" s="1" t="str">
        <f>"***403382**"</f>
        <v>***403382**</v>
      </c>
      <c r="AC381" s="1"/>
      <c r="AD381" s="1"/>
      <c r="AE381" s="1"/>
      <c r="AF381" s="1">
        <v>-50.355278</v>
      </c>
      <c r="AG381" s="1">
        <v>-5.631389</v>
      </c>
      <c r="AH381" s="1" t="s">
        <v>1942</v>
      </c>
      <c r="AI381" s="1"/>
      <c r="AJ381" s="1" t="s">
        <v>1172</v>
      </c>
      <c r="AK381" s="1"/>
      <c r="AL381" s="1" t="s">
        <v>79</v>
      </c>
      <c r="AM381" s="1" t="s">
        <v>65</v>
      </c>
      <c r="AN381" s="1" t="s">
        <v>1943</v>
      </c>
      <c r="AO381" s="2">
        <v>44113.0</v>
      </c>
      <c r="AP381" s="2">
        <v>44113.6739467593</v>
      </c>
      <c r="AQ381" s="1" t="s">
        <v>80</v>
      </c>
      <c r="AR381" s="1" t="s">
        <v>650</v>
      </c>
      <c r="AS381" s="1" t="s">
        <v>1944</v>
      </c>
      <c r="AT381" s="2">
        <v>44269.931099537</v>
      </c>
    </row>
    <row r="382" ht="13.5" customHeight="1">
      <c r="A382" s="1">
        <v>2040851.0</v>
      </c>
      <c r="B382" s="1" t="s">
        <v>67</v>
      </c>
      <c r="C382" s="1" t="s">
        <v>68</v>
      </c>
      <c r="D382" s="1" t="s">
        <v>46</v>
      </c>
      <c r="E382" s="1" t="s">
        <v>1945</v>
      </c>
      <c r="F382" s="1"/>
      <c r="G382" s="1" t="s">
        <v>70</v>
      </c>
      <c r="H382" s="1" t="s">
        <v>93</v>
      </c>
      <c r="I382" s="1">
        <v>12500.0</v>
      </c>
      <c r="J382" s="1"/>
      <c r="K382" s="1"/>
      <c r="L382" s="1" t="s">
        <v>291</v>
      </c>
      <c r="M382" s="1" t="s">
        <v>1946</v>
      </c>
      <c r="N382" s="1" t="s">
        <v>95</v>
      </c>
      <c r="O382" s="1" t="s">
        <v>96</v>
      </c>
      <c r="P382" s="2">
        <v>43810.4583333333</v>
      </c>
      <c r="Q382" s="1" t="s">
        <v>373</v>
      </c>
      <c r="R382" s="3">
        <v>43810.0</v>
      </c>
      <c r="S382" s="1"/>
      <c r="T382" s="1">
        <v>3300936.0</v>
      </c>
      <c r="U382" s="1" t="s">
        <v>1947</v>
      </c>
      <c r="V382" s="1" t="s">
        <v>287</v>
      </c>
      <c r="W382" s="1" t="s">
        <v>59</v>
      </c>
      <c r="X382" s="1"/>
      <c r="Y382" s="1" t="str">
        <f>"02022003966202028"</f>
        <v>02022003966202028</v>
      </c>
      <c r="Z382" s="1" t="s">
        <v>98</v>
      </c>
      <c r="AA382" s="1" t="s">
        <v>1948</v>
      </c>
      <c r="AB382" s="1" t="str">
        <f>"***235487**"</f>
        <v>***235487**</v>
      </c>
      <c r="AC382" s="1"/>
      <c r="AD382" s="1"/>
      <c r="AE382" s="1"/>
      <c r="AF382" s="1">
        <v>-41.665001</v>
      </c>
      <c r="AG382" s="1">
        <v>-22.190556</v>
      </c>
      <c r="AH382" s="1" t="s">
        <v>1949</v>
      </c>
      <c r="AI382" s="1"/>
      <c r="AJ382" s="1" t="s">
        <v>291</v>
      </c>
      <c r="AK382" s="1"/>
      <c r="AL382" s="1" t="s">
        <v>79</v>
      </c>
      <c r="AM382" s="1" t="s">
        <v>65</v>
      </c>
      <c r="AN382" s="1" t="s">
        <v>1950</v>
      </c>
      <c r="AO382" s="2">
        <v>44140.0</v>
      </c>
      <c r="AP382" s="2">
        <v>44140.6978125</v>
      </c>
      <c r="AQ382" s="1" t="s">
        <v>80</v>
      </c>
      <c r="AR382" s="1" t="s">
        <v>1951</v>
      </c>
      <c r="AS382" s="1"/>
      <c r="AT382" s="2">
        <v>44269.931099537</v>
      </c>
    </row>
    <row r="383" ht="13.5" customHeight="1">
      <c r="A383" s="1"/>
      <c r="B383" s="1" t="s">
        <v>46</v>
      </c>
      <c r="C383" s="1" t="s">
        <v>47</v>
      </c>
      <c r="D383" s="1"/>
      <c r="E383" s="1" t="s">
        <v>1952</v>
      </c>
      <c r="F383" s="1"/>
      <c r="G383" s="1" t="s">
        <v>49</v>
      </c>
      <c r="H383" s="1" t="s">
        <v>93</v>
      </c>
      <c r="I383" s="1">
        <v>11500.0</v>
      </c>
      <c r="J383" s="1"/>
      <c r="K383" s="1" t="s">
        <v>140</v>
      </c>
      <c r="L383" s="1"/>
      <c r="M383" s="1" t="s">
        <v>1885</v>
      </c>
      <c r="N383" s="1" t="s">
        <v>1886</v>
      </c>
      <c r="O383" s="1" t="s">
        <v>1887</v>
      </c>
      <c r="P383" s="2">
        <v>43810.451099537</v>
      </c>
      <c r="Q383" s="1" t="s">
        <v>74</v>
      </c>
      <c r="R383" s="3">
        <v>43810.0</v>
      </c>
      <c r="S383" s="1"/>
      <c r="T383" s="1">
        <v>4126355.0</v>
      </c>
      <c r="U383" s="1" t="s">
        <v>1953</v>
      </c>
      <c r="V383" s="1" t="s">
        <v>176</v>
      </c>
      <c r="W383" s="1" t="s">
        <v>59</v>
      </c>
      <c r="X383" s="1"/>
      <c r="Y383" s="1"/>
      <c r="Z383" s="1" t="s">
        <v>1889</v>
      </c>
      <c r="AA383" s="1" t="s">
        <v>1954</v>
      </c>
      <c r="AB383" s="1" t="str">
        <f>"***840919**"</f>
        <v>***840919**</v>
      </c>
      <c r="AC383" s="1"/>
      <c r="AD383" s="1" t="s">
        <v>62</v>
      </c>
      <c r="AE383" s="1"/>
      <c r="AF383" s="1">
        <v>-54.062222</v>
      </c>
      <c r="AG383" s="1">
        <v>-25.532499</v>
      </c>
      <c r="AH383" s="1" t="s">
        <v>1953</v>
      </c>
      <c r="AI383" s="1"/>
      <c r="AJ383" s="1" t="s">
        <v>358</v>
      </c>
      <c r="AK383" s="1"/>
      <c r="AL383" s="1"/>
      <c r="AM383" s="1" t="s">
        <v>65</v>
      </c>
      <c r="AN383" s="1" t="s">
        <v>359</v>
      </c>
      <c r="AO383" s="1"/>
      <c r="AP383" s="2">
        <v>43937.6974074074</v>
      </c>
      <c r="AQ383" s="1"/>
      <c r="AR383" s="1" t="s">
        <v>1892</v>
      </c>
      <c r="AS383" s="1"/>
      <c r="AT383" s="2">
        <v>44269.931099537</v>
      </c>
    </row>
    <row r="384" ht="13.5" customHeight="1">
      <c r="A384" s="1">
        <v>2043698.0</v>
      </c>
      <c r="B384" s="1" t="s">
        <v>67</v>
      </c>
      <c r="C384" s="1" t="s">
        <v>68</v>
      </c>
      <c r="D384" s="1" t="s">
        <v>46</v>
      </c>
      <c r="E384" s="1" t="s">
        <v>1955</v>
      </c>
      <c r="F384" s="1"/>
      <c r="G384" s="1" t="s">
        <v>70</v>
      </c>
      <c r="H384" s="1" t="s">
        <v>93</v>
      </c>
      <c r="I384" s="1">
        <v>1500.0</v>
      </c>
      <c r="J384" s="1"/>
      <c r="K384" s="1"/>
      <c r="L384" s="1" t="s">
        <v>64</v>
      </c>
      <c r="M384" s="1" t="s">
        <v>1956</v>
      </c>
      <c r="N384" s="1" t="s">
        <v>95</v>
      </c>
      <c r="O384" s="1" t="s">
        <v>96</v>
      </c>
      <c r="P384" s="2">
        <v>43810.4368055556</v>
      </c>
      <c r="Q384" s="1" t="s">
        <v>373</v>
      </c>
      <c r="R384" s="3">
        <v>43810.0</v>
      </c>
      <c r="S384" s="1"/>
      <c r="T384" s="1">
        <v>3550308.0</v>
      </c>
      <c r="U384" s="1" t="s">
        <v>607</v>
      </c>
      <c r="V384" s="1" t="s">
        <v>58</v>
      </c>
      <c r="W384" s="1" t="s">
        <v>59</v>
      </c>
      <c r="X384" s="1"/>
      <c r="Y384" s="1" t="str">
        <f>"02027022657201973"</f>
        <v>02027022657201973</v>
      </c>
      <c r="Z384" s="1" t="s">
        <v>1957</v>
      </c>
      <c r="AA384" s="1" t="s">
        <v>1958</v>
      </c>
      <c r="AB384" s="1" t="str">
        <f>"***489928**"</f>
        <v>***489928**</v>
      </c>
      <c r="AC384" s="1"/>
      <c r="AD384" s="1" t="s">
        <v>116</v>
      </c>
      <c r="AE384" s="1"/>
      <c r="AF384" s="1">
        <v>0.0</v>
      </c>
      <c r="AG384" s="1">
        <v>0.0</v>
      </c>
      <c r="AH384" s="1" t="s">
        <v>1959</v>
      </c>
      <c r="AI384" s="1"/>
      <c r="AJ384" s="1"/>
      <c r="AK384" s="1"/>
      <c r="AL384" s="1" t="s">
        <v>118</v>
      </c>
      <c r="AM384" s="1"/>
      <c r="AN384" s="1"/>
      <c r="AO384" s="2">
        <v>44249.7195138889</v>
      </c>
      <c r="AP384" s="2">
        <v>44249.7195138889</v>
      </c>
      <c r="AQ384" s="1" t="s">
        <v>80</v>
      </c>
      <c r="AR384" s="1" t="s">
        <v>1960</v>
      </c>
      <c r="AS384" s="1" t="s">
        <v>88</v>
      </c>
      <c r="AT384" s="2">
        <v>44269.931099537</v>
      </c>
    </row>
    <row r="385" ht="13.5" customHeight="1">
      <c r="A385" s="1"/>
      <c r="B385" s="1" t="s">
        <v>46</v>
      </c>
      <c r="C385" s="1" t="s">
        <v>47</v>
      </c>
      <c r="D385" s="1"/>
      <c r="E385" s="1" t="s">
        <v>1961</v>
      </c>
      <c r="F385" s="1"/>
      <c r="G385" s="1" t="s">
        <v>49</v>
      </c>
      <c r="H385" s="1" t="s">
        <v>50</v>
      </c>
      <c r="I385" s="1">
        <v>2501000.0</v>
      </c>
      <c r="J385" s="1"/>
      <c r="K385" s="1" t="s">
        <v>140</v>
      </c>
      <c r="L385" s="1"/>
      <c r="M385" s="1" t="s">
        <v>1962</v>
      </c>
      <c r="N385" s="1" t="s">
        <v>212</v>
      </c>
      <c r="O385" s="1" t="s">
        <v>213</v>
      </c>
      <c r="P385" s="2">
        <v>43810.4277662037</v>
      </c>
      <c r="Q385" s="1" t="s">
        <v>74</v>
      </c>
      <c r="R385" s="1"/>
      <c r="S385" s="1"/>
      <c r="T385" s="1">
        <v>3302403.0</v>
      </c>
      <c r="U385" s="1" t="s">
        <v>1371</v>
      </c>
      <c r="V385" s="1" t="s">
        <v>287</v>
      </c>
      <c r="W385" s="1" t="s">
        <v>288</v>
      </c>
      <c r="X385" s="1"/>
      <c r="Y385" s="1"/>
      <c r="Z385" s="1" t="s">
        <v>215</v>
      </c>
      <c r="AA385" s="1" t="s">
        <v>289</v>
      </c>
      <c r="AB385" s="1" t="str">
        <f>"33000167000101"</f>
        <v>33000167000101</v>
      </c>
      <c r="AC385" s="1"/>
      <c r="AD385" s="1" t="s">
        <v>149</v>
      </c>
      <c r="AE385" s="1"/>
      <c r="AF385" s="1">
        <v>-40.358608</v>
      </c>
      <c r="AG385" s="1">
        <v>-22.858612</v>
      </c>
      <c r="AH385" s="1" t="s">
        <v>1963</v>
      </c>
      <c r="AI385" s="1"/>
      <c r="AJ385" s="1" t="s">
        <v>172</v>
      </c>
      <c r="AK385" s="1"/>
      <c r="AL385" s="1"/>
      <c r="AM385" s="1" t="s">
        <v>65</v>
      </c>
      <c r="AN385" s="1" t="s">
        <v>720</v>
      </c>
      <c r="AO385" s="1"/>
      <c r="AP385" s="2">
        <v>44036.7351388889</v>
      </c>
      <c r="AQ385" s="1"/>
      <c r="AR385" s="1" t="s">
        <v>1964</v>
      </c>
      <c r="AS385" s="1" t="s">
        <v>1965</v>
      </c>
      <c r="AT385" s="2">
        <v>44269.931099537</v>
      </c>
    </row>
    <row r="386" ht="13.5" customHeight="1">
      <c r="A386" s="1"/>
      <c r="B386" s="1" t="s">
        <v>46</v>
      </c>
      <c r="C386" s="1" t="s">
        <v>47</v>
      </c>
      <c r="D386" s="1"/>
      <c r="E386" s="1" t="s">
        <v>1966</v>
      </c>
      <c r="F386" s="1"/>
      <c r="G386" s="1" t="s">
        <v>49</v>
      </c>
      <c r="H386" s="1" t="s">
        <v>93</v>
      </c>
      <c r="I386" s="1">
        <v>190000.0</v>
      </c>
      <c r="J386" s="1"/>
      <c r="K386" s="1"/>
      <c r="L386" s="1"/>
      <c r="M386" s="1" t="s">
        <v>1967</v>
      </c>
      <c r="N386" s="1" t="s">
        <v>142</v>
      </c>
      <c r="O386" s="1" t="s">
        <v>143</v>
      </c>
      <c r="P386" s="2">
        <v>43810.4215740741</v>
      </c>
      <c r="Q386" s="1" t="s">
        <v>74</v>
      </c>
      <c r="R386" s="1"/>
      <c r="S386" s="1"/>
      <c r="T386" s="1">
        <v>1100320.0</v>
      </c>
      <c r="U386" s="1" t="s">
        <v>1851</v>
      </c>
      <c r="V386" s="1" t="s">
        <v>448</v>
      </c>
      <c r="W386" s="1" t="s">
        <v>177</v>
      </c>
      <c r="X386" s="1"/>
      <c r="Y386" s="1"/>
      <c r="Z386" s="1" t="s">
        <v>147</v>
      </c>
      <c r="AA386" s="1" t="s">
        <v>1968</v>
      </c>
      <c r="AB386" s="1" t="str">
        <f>"***185769**"</f>
        <v>***185769**</v>
      </c>
      <c r="AC386" s="1"/>
      <c r="AD386" s="1" t="s">
        <v>116</v>
      </c>
      <c r="AE386" s="1"/>
      <c r="AF386" s="1">
        <v>-62.665276</v>
      </c>
      <c r="AG386" s="1">
        <v>-11.696389</v>
      </c>
      <c r="AH386" s="1" t="s">
        <v>1969</v>
      </c>
      <c r="AI386" s="1"/>
      <c r="AJ386" s="1" t="s">
        <v>172</v>
      </c>
      <c r="AK386" s="1"/>
      <c r="AL386" s="1"/>
      <c r="AM386" s="1" t="s">
        <v>65</v>
      </c>
      <c r="AN386" s="1" t="s">
        <v>1395</v>
      </c>
      <c r="AO386" s="1"/>
      <c r="AP386" s="2">
        <v>43810.4388310185</v>
      </c>
      <c r="AQ386" s="1"/>
      <c r="AR386" s="1" t="s">
        <v>644</v>
      </c>
      <c r="AS386" s="1"/>
      <c r="AT386" s="2">
        <v>44269.931099537</v>
      </c>
    </row>
    <row r="387" ht="13.5" customHeight="1">
      <c r="A387" s="1"/>
      <c r="B387" s="1" t="s">
        <v>46</v>
      </c>
      <c r="C387" s="1" t="s">
        <v>47</v>
      </c>
      <c r="D387" s="1"/>
      <c r="E387" s="1" t="s">
        <v>1970</v>
      </c>
      <c r="F387" s="1"/>
      <c r="G387" s="1" t="s">
        <v>49</v>
      </c>
      <c r="H387" s="1" t="s">
        <v>50</v>
      </c>
      <c r="I387" s="1">
        <v>500500.0</v>
      </c>
      <c r="J387" s="1"/>
      <c r="K387" s="1" t="s">
        <v>140</v>
      </c>
      <c r="L387" s="1"/>
      <c r="M387" s="1" t="s">
        <v>1971</v>
      </c>
      <c r="N387" s="1" t="s">
        <v>212</v>
      </c>
      <c r="O387" s="1" t="s">
        <v>213</v>
      </c>
      <c r="P387" s="2">
        <v>43810.4184837963</v>
      </c>
      <c r="Q387" s="1" t="s">
        <v>74</v>
      </c>
      <c r="R387" s="1"/>
      <c r="S387" s="1"/>
      <c r="T387" s="1">
        <v>3302403.0</v>
      </c>
      <c r="U387" s="1" t="s">
        <v>1371</v>
      </c>
      <c r="V387" s="1" t="s">
        <v>287</v>
      </c>
      <c r="W387" s="1" t="s">
        <v>288</v>
      </c>
      <c r="X387" s="1"/>
      <c r="Y387" s="1"/>
      <c r="Z387" s="1" t="s">
        <v>215</v>
      </c>
      <c r="AA387" s="1" t="s">
        <v>289</v>
      </c>
      <c r="AB387" s="1" t="str">
        <f>"33000167000101"</f>
        <v>33000167000101</v>
      </c>
      <c r="AC387" s="1"/>
      <c r="AD387" s="1" t="s">
        <v>149</v>
      </c>
      <c r="AE387" s="1"/>
      <c r="AF387" s="1">
        <v>-40.358608</v>
      </c>
      <c r="AG387" s="1">
        <v>-22.858612</v>
      </c>
      <c r="AH387" s="1" t="s">
        <v>1972</v>
      </c>
      <c r="AI387" s="1"/>
      <c r="AJ387" s="1" t="s">
        <v>172</v>
      </c>
      <c r="AK387" s="1"/>
      <c r="AL387" s="1"/>
      <c r="AM387" s="1" t="s">
        <v>65</v>
      </c>
      <c r="AN387" s="1" t="s">
        <v>720</v>
      </c>
      <c r="AO387" s="1"/>
      <c r="AP387" s="2">
        <v>44036.7352893519</v>
      </c>
      <c r="AQ387" s="1"/>
      <c r="AR387" s="1" t="s">
        <v>721</v>
      </c>
      <c r="AS387" s="1" t="s">
        <v>1973</v>
      </c>
      <c r="AT387" s="2">
        <v>44269.931099537</v>
      </c>
    </row>
    <row r="388" ht="13.5" customHeight="1">
      <c r="A388" s="1">
        <v>2034714.0</v>
      </c>
      <c r="B388" s="1" t="s">
        <v>67</v>
      </c>
      <c r="C388" s="1" t="s">
        <v>68</v>
      </c>
      <c r="D388" s="1" t="s">
        <v>46</v>
      </c>
      <c r="E388" s="1" t="s">
        <v>1974</v>
      </c>
      <c r="F388" s="1"/>
      <c r="G388" s="1" t="s">
        <v>70</v>
      </c>
      <c r="H388" s="1" t="s">
        <v>93</v>
      </c>
      <c r="I388" s="1">
        <v>500.0</v>
      </c>
      <c r="J388" s="1"/>
      <c r="K388" s="1"/>
      <c r="L388" s="1" t="s">
        <v>64</v>
      </c>
      <c r="M388" s="1" t="s">
        <v>1975</v>
      </c>
      <c r="N388" s="1" t="s">
        <v>95</v>
      </c>
      <c r="O388" s="1" t="s">
        <v>96</v>
      </c>
      <c r="P388" s="2">
        <v>43810.4166666667</v>
      </c>
      <c r="Q388" s="1" t="s">
        <v>74</v>
      </c>
      <c r="R388" s="3">
        <v>43809.0</v>
      </c>
      <c r="S388" s="1"/>
      <c r="T388" s="1">
        <v>3549805.0</v>
      </c>
      <c r="U388" s="1" t="s">
        <v>1927</v>
      </c>
      <c r="V388" s="1" t="s">
        <v>58</v>
      </c>
      <c r="W388" s="1" t="s">
        <v>59</v>
      </c>
      <c r="X388" s="1"/>
      <c r="Y388" s="1" t="str">
        <f>"02027021798201979"</f>
        <v>02027021798201979</v>
      </c>
      <c r="Z388" s="1" t="s">
        <v>98</v>
      </c>
      <c r="AA388" s="1" t="s">
        <v>1976</v>
      </c>
      <c r="AB388" s="1" t="str">
        <f>"***868298**"</f>
        <v>***868298**</v>
      </c>
      <c r="AC388" s="1"/>
      <c r="AD388" s="1"/>
      <c r="AE388" s="1"/>
      <c r="AF388" s="1">
        <v>-49.355278</v>
      </c>
      <c r="AG388" s="1">
        <v>-20.791666</v>
      </c>
      <c r="AH388" s="1" t="s">
        <v>1929</v>
      </c>
      <c r="AI388" s="1"/>
      <c r="AJ388" s="1" t="s">
        <v>64</v>
      </c>
      <c r="AK388" s="1"/>
      <c r="AL388" s="1" t="s">
        <v>79</v>
      </c>
      <c r="AM388" s="1" t="s">
        <v>65</v>
      </c>
      <c r="AN388" s="1"/>
      <c r="AO388" s="2">
        <v>43889.0</v>
      </c>
      <c r="AP388" s="2">
        <v>43889.5926157407</v>
      </c>
      <c r="AQ388" s="1" t="s">
        <v>80</v>
      </c>
      <c r="AR388" s="1" t="s">
        <v>953</v>
      </c>
      <c r="AS388" s="1" t="s">
        <v>1930</v>
      </c>
      <c r="AT388" s="2">
        <v>44269.931099537</v>
      </c>
    </row>
    <row r="389" ht="13.5" customHeight="1">
      <c r="A389" s="1">
        <v>2035665.0</v>
      </c>
      <c r="B389" s="1" t="s">
        <v>67</v>
      </c>
      <c r="C389" s="1" t="s">
        <v>68</v>
      </c>
      <c r="D389" s="1" t="s">
        <v>46</v>
      </c>
      <c r="E389" s="1" t="s">
        <v>1977</v>
      </c>
      <c r="F389" s="1"/>
      <c r="G389" s="1" t="s">
        <v>70</v>
      </c>
      <c r="H389" s="1" t="s">
        <v>93</v>
      </c>
      <c r="I389" s="1">
        <v>6000.0</v>
      </c>
      <c r="J389" s="1"/>
      <c r="K389" s="1"/>
      <c r="L389" s="1" t="s">
        <v>501</v>
      </c>
      <c r="M389" s="1" t="s">
        <v>1978</v>
      </c>
      <c r="N389" s="1" t="s">
        <v>95</v>
      </c>
      <c r="O389" s="1" t="s">
        <v>96</v>
      </c>
      <c r="P389" s="2">
        <v>43810.4166666667</v>
      </c>
      <c r="Q389" s="1" t="s">
        <v>373</v>
      </c>
      <c r="R389" s="3">
        <v>43810.0</v>
      </c>
      <c r="S389" s="1"/>
      <c r="T389" s="1">
        <v>1200427.0</v>
      </c>
      <c r="U389" s="1" t="s">
        <v>1727</v>
      </c>
      <c r="V389" s="1" t="s">
        <v>498</v>
      </c>
      <c r="W389" s="1" t="s">
        <v>177</v>
      </c>
      <c r="X389" s="1"/>
      <c r="Y389" s="1" t="str">
        <f>"02021000640202059"</f>
        <v>02021000640202059</v>
      </c>
      <c r="Z389" s="1" t="s">
        <v>98</v>
      </c>
      <c r="AA389" s="1" t="s">
        <v>1979</v>
      </c>
      <c r="AB389" s="1" t="str">
        <f>"***264082**"</f>
        <v>***264082**</v>
      </c>
      <c r="AC389" s="1"/>
      <c r="AD389" s="1"/>
      <c r="AE389" s="1"/>
      <c r="AF389" s="1">
        <v>-72.925827</v>
      </c>
      <c r="AG389" s="1">
        <v>-7.866945</v>
      </c>
      <c r="AH389" s="1" t="s">
        <v>1980</v>
      </c>
      <c r="AI389" s="1"/>
      <c r="AJ389" s="1" t="s">
        <v>501</v>
      </c>
      <c r="AK389" s="1"/>
      <c r="AL389" s="1" t="s">
        <v>79</v>
      </c>
      <c r="AM389" s="1" t="s">
        <v>65</v>
      </c>
      <c r="AN389" s="1"/>
      <c r="AO389" s="2">
        <v>43913.0</v>
      </c>
      <c r="AP389" s="2">
        <v>43913.4646759259</v>
      </c>
      <c r="AQ389" s="1" t="s">
        <v>80</v>
      </c>
      <c r="AR389" s="1" t="s">
        <v>481</v>
      </c>
      <c r="AS389" s="1"/>
      <c r="AT389" s="2">
        <v>44269.931099537</v>
      </c>
    </row>
    <row r="390" ht="13.5" customHeight="1">
      <c r="A390" s="1"/>
      <c r="B390" s="1" t="s">
        <v>46</v>
      </c>
      <c r="C390" s="1" t="s">
        <v>657</v>
      </c>
      <c r="D390" s="1" t="s">
        <v>67</v>
      </c>
      <c r="E390" s="1" t="s">
        <v>1981</v>
      </c>
      <c r="F390" s="1"/>
      <c r="G390" s="1" t="s">
        <v>49</v>
      </c>
      <c r="H390" s="1" t="s">
        <v>93</v>
      </c>
      <c r="I390" s="1">
        <v>50000.0</v>
      </c>
      <c r="J390" s="1"/>
      <c r="K390" s="1"/>
      <c r="L390" s="1"/>
      <c r="M390" s="1"/>
      <c r="N390" s="1" t="s">
        <v>212</v>
      </c>
      <c r="O390" s="1" t="s">
        <v>213</v>
      </c>
      <c r="P390" s="2">
        <v>43810.4136458333</v>
      </c>
      <c r="Q390" s="1" t="s">
        <v>74</v>
      </c>
      <c r="R390" s="1"/>
      <c r="S390" s="1"/>
      <c r="T390" s="1">
        <v>2205706.0</v>
      </c>
      <c r="U390" s="1" t="s">
        <v>1351</v>
      </c>
      <c r="V390" s="1" t="s">
        <v>895</v>
      </c>
      <c r="W390" s="1" t="s">
        <v>288</v>
      </c>
      <c r="X390" s="1"/>
      <c r="Y390" s="1"/>
      <c r="Z390" s="1" t="s">
        <v>215</v>
      </c>
      <c r="AA390" s="1" t="s">
        <v>1841</v>
      </c>
      <c r="AB390" s="1" t="str">
        <f>"06554448000133"</f>
        <v>06554448000133</v>
      </c>
      <c r="AC390" s="1"/>
      <c r="AD390" s="1" t="s">
        <v>149</v>
      </c>
      <c r="AE390" s="1"/>
      <c r="AF390" s="1">
        <v>-41.769165</v>
      </c>
      <c r="AG390" s="1">
        <v>-2.996389</v>
      </c>
      <c r="AH390" s="1" t="s">
        <v>1982</v>
      </c>
      <c r="AI390" s="1"/>
      <c r="AJ390" s="1" t="s">
        <v>898</v>
      </c>
      <c r="AK390" s="1"/>
      <c r="AL390" s="1"/>
      <c r="AM390" s="1" t="s">
        <v>65</v>
      </c>
      <c r="AN390" s="1" t="s">
        <v>152</v>
      </c>
      <c r="AO390" s="1"/>
      <c r="AP390" s="2">
        <v>43810.4162731482</v>
      </c>
      <c r="AQ390" s="1"/>
      <c r="AR390" s="1" t="s">
        <v>1843</v>
      </c>
      <c r="AS390" s="1" t="s">
        <v>1983</v>
      </c>
      <c r="AT390" s="2">
        <v>44269.931099537</v>
      </c>
    </row>
    <row r="391" ht="13.5" customHeight="1">
      <c r="A391" s="1"/>
      <c r="B391" s="1" t="s">
        <v>46</v>
      </c>
      <c r="C391" s="1" t="s">
        <v>47</v>
      </c>
      <c r="D391" s="1"/>
      <c r="E391" s="1" t="s">
        <v>1984</v>
      </c>
      <c r="F391" s="1"/>
      <c r="G391" s="1" t="s">
        <v>49</v>
      </c>
      <c r="H391" s="1" t="s">
        <v>93</v>
      </c>
      <c r="I391" s="1">
        <v>120000.0</v>
      </c>
      <c r="J391" s="1"/>
      <c r="K391" s="1" t="s">
        <v>140</v>
      </c>
      <c r="L391" s="1"/>
      <c r="M391" s="1" t="s">
        <v>1985</v>
      </c>
      <c r="N391" s="1" t="s">
        <v>123</v>
      </c>
      <c r="O391" s="1" t="s">
        <v>73</v>
      </c>
      <c r="P391" s="2">
        <v>43810.3915393519</v>
      </c>
      <c r="Q391" s="1" t="s">
        <v>74</v>
      </c>
      <c r="R391" s="3">
        <v>38494.0</v>
      </c>
      <c r="S391" s="1"/>
      <c r="T391" s="1">
        <v>5106307.0</v>
      </c>
      <c r="U391" s="1" t="s">
        <v>1986</v>
      </c>
      <c r="V391" s="1" t="s">
        <v>164</v>
      </c>
      <c r="W391" s="1" t="s">
        <v>127</v>
      </c>
      <c r="X391" s="1"/>
      <c r="Y391" s="1"/>
      <c r="Z391" s="1" t="s">
        <v>76</v>
      </c>
      <c r="AA391" s="1" t="s">
        <v>1987</v>
      </c>
      <c r="AB391" s="1" t="str">
        <f>"***470890**"</f>
        <v>***470890**</v>
      </c>
      <c r="AC391" s="1"/>
      <c r="AD391" s="1" t="s">
        <v>116</v>
      </c>
      <c r="AE391" s="1"/>
      <c r="AF391" s="1">
        <v>-54.474163</v>
      </c>
      <c r="AG391" s="1">
        <v>-13.850834</v>
      </c>
      <c r="AH391" s="1" t="s">
        <v>1988</v>
      </c>
      <c r="AI391" s="1"/>
      <c r="AJ391" s="1" t="s">
        <v>167</v>
      </c>
      <c r="AK391" s="1"/>
      <c r="AL391" s="1"/>
      <c r="AM391" s="1" t="s">
        <v>65</v>
      </c>
      <c r="AN391" s="1" t="s">
        <v>168</v>
      </c>
      <c r="AO391" s="1"/>
      <c r="AP391" s="2">
        <v>43810.4249537037</v>
      </c>
      <c r="AQ391" s="1"/>
      <c r="AR391" s="1" t="s">
        <v>793</v>
      </c>
      <c r="AS391" s="1"/>
      <c r="AT391" s="2">
        <v>44269.931099537</v>
      </c>
    </row>
    <row r="392" ht="13.5" customHeight="1">
      <c r="A392" s="1"/>
      <c r="B392" s="1" t="s">
        <v>46</v>
      </c>
      <c r="C392" s="1" t="s">
        <v>657</v>
      </c>
      <c r="D392" s="1" t="s">
        <v>67</v>
      </c>
      <c r="E392" s="1" t="s">
        <v>1989</v>
      </c>
      <c r="F392" s="1"/>
      <c r="G392" s="1" t="s">
        <v>49</v>
      </c>
      <c r="H392" s="1" t="s">
        <v>93</v>
      </c>
      <c r="I392" s="1">
        <v>50000.0</v>
      </c>
      <c r="J392" s="1"/>
      <c r="K392" s="1" t="s">
        <v>140</v>
      </c>
      <c r="L392" s="1"/>
      <c r="M392" s="1" t="s">
        <v>1840</v>
      </c>
      <c r="N392" s="1" t="s">
        <v>212</v>
      </c>
      <c r="O392" s="1" t="s">
        <v>213</v>
      </c>
      <c r="P392" s="2">
        <v>43810.3853587963</v>
      </c>
      <c r="Q392" s="1" t="s">
        <v>74</v>
      </c>
      <c r="R392" s="1"/>
      <c r="S392" s="1"/>
      <c r="T392" s="1">
        <v>2211001.0</v>
      </c>
      <c r="U392" s="1" t="s">
        <v>1667</v>
      </c>
      <c r="V392" s="1" t="s">
        <v>895</v>
      </c>
      <c r="W392" s="1" t="s">
        <v>288</v>
      </c>
      <c r="X392" s="1"/>
      <c r="Y392" s="1"/>
      <c r="Z392" s="1" t="s">
        <v>215</v>
      </c>
      <c r="AA392" s="1" t="s">
        <v>1841</v>
      </c>
      <c r="AB392" s="1" t="str">
        <f>"06554448000133"</f>
        <v>06554448000133</v>
      </c>
      <c r="AC392" s="1"/>
      <c r="AD392" s="1" t="s">
        <v>149</v>
      </c>
      <c r="AE392" s="1"/>
      <c r="AF392" s="1">
        <v>-42.78389</v>
      </c>
      <c r="AG392" s="1">
        <v>-5.065278</v>
      </c>
      <c r="AH392" s="1" t="s">
        <v>1990</v>
      </c>
      <c r="AI392" s="1"/>
      <c r="AJ392" s="1" t="s">
        <v>898</v>
      </c>
      <c r="AK392" s="1"/>
      <c r="AL392" s="1"/>
      <c r="AM392" s="1" t="s">
        <v>65</v>
      </c>
      <c r="AN392" s="1" t="s">
        <v>152</v>
      </c>
      <c r="AO392" s="1"/>
      <c r="AP392" s="2">
        <v>43810.4053125</v>
      </c>
      <c r="AQ392" s="1"/>
      <c r="AR392" s="1" t="s">
        <v>1843</v>
      </c>
      <c r="AS392" s="1" t="s">
        <v>1991</v>
      </c>
      <c r="AT392" s="2">
        <v>44269.931099537</v>
      </c>
    </row>
    <row r="393" ht="13.5" customHeight="1">
      <c r="A393" s="1">
        <v>2038866.0</v>
      </c>
      <c r="B393" s="1" t="s">
        <v>67</v>
      </c>
      <c r="C393" s="1" t="s">
        <v>68</v>
      </c>
      <c r="D393" s="1" t="s">
        <v>46</v>
      </c>
      <c r="E393" s="1" t="s">
        <v>1992</v>
      </c>
      <c r="F393" s="1"/>
      <c r="G393" s="1" t="s">
        <v>70</v>
      </c>
      <c r="H393" s="1" t="s">
        <v>93</v>
      </c>
      <c r="I393" s="1">
        <v>325000.0</v>
      </c>
      <c r="J393" s="1"/>
      <c r="K393" s="1"/>
      <c r="L393" s="1" t="s">
        <v>444</v>
      </c>
      <c r="M393" s="1" t="s">
        <v>1993</v>
      </c>
      <c r="N393" s="1" t="s">
        <v>142</v>
      </c>
      <c r="O393" s="1" t="s">
        <v>143</v>
      </c>
      <c r="P393" s="2">
        <v>43810.375</v>
      </c>
      <c r="Q393" s="1" t="s">
        <v>373</v>
      </c>
      <c r="R393" s="3">
        <v>43810.0</v>
      </c>
      <c r="S393" s="1"/>
      <c r="T393" s="1">
        <v>1100205.0</v>
      </c>
      <c r="U393" s="1" t="s">
        <v>653</v>
      </c>
      <c r="V393" s="1" t="s">
        <v>448</v>
      </c>
      <c r="W393" s="1" t="s">
        <v>177</v>
      </c>
      <c r="X393" s="1"/>
      <c r="Y393" s="1" t="str">
        <f>"02024002672202069"</f>
        <v>02024002672202069</v>
      </c>
      <c r="Z393" s="1" t="s">
        <v>147</v>
      </c>
      <c r="AA393" s="1" t="s">
        <v>1994</v>
      </c>
      <c r="AB393" s="1" t="str">
        <f>"***111602**"</f>
        <v>***111602**</v>
      </c>
      <c r="AC393" s="1"/>
      <c r="AD393" s="1"/>
      <c r="AE393" s="1"/>
      <c r="AF393" s="1">
        <v>-64.422775</v>
      </c>
      <c r="AG393" s="1">
        <v>-9.652222</v>
      </c>
      <c r="AH393" s="1" t="s">
        <v>1995</v>
      </c>
      <c r="AI393" s="1"/>
      <c r="AJ393" s="1" t="s">
        <v>444</v>
      </c>
      <c r="AK393" s="1"/>
      <c r="AL393" s="1" t="s">
        <v>79</v>
      </c>
      <c r="AM393" s="1" t="s">
        <v>65</v>
      </c>
      <c r="AN393" s="1"/>
      <c r="AO393" s="2">
        <v>44047.0</v>
      </c>
      <c r="AP393" s="2">
        <v>44047.3714930556</v>
      </c>
      <c r="AQ393" s="1" t="s">
        <v>80</v>
      </c>
      <c r="AR393" s="1" t="s">
        <v>451</v>
      </c>
      <c r="AS393" s="1"/>
      <c r="AT393" s="2">
        <v>44269.931099537</v>
      </c>
    </row>
    <row r="394" ht="13.5" customHeight="1">
      <c r="A394" s="1"/>
      <c r="B394" s="1" t="s">
        <v>46</v>
      </c>
      <c r="C394" s="1" t="s">
        <v>47</v>
      </c>
      <c r="D394" s="1"/>
      <c r="E394" s="1" t="s">
        <v>1996</v>
      </c>
      <c r="F394" s="1"/>
      <c r="G394" s="1" t="s">
        <v>49</v>
      </c>
      <c r="H394" s="1" t="s">
        <v>93</v>
      </c>
      <c r="I394" s="1">
        <v>470000.0</v>
      </c>
      <c r="J394" s="1"/>
      <c r="K394" s="1"/>
      <c r="L394" s="1"/>
      <c r="M394" s="1" t="s">
        <v>1997</v>
      </c>
      <c r="N394" s="1" t="s">
        <v>142</v>
      </c>
      <c r="O394" s="1" t="s">
        <v>143</v>
      </c>
      <c r="P394" s="2">
        <v>43810.0068402778</v>
      </c>
      <c r="Q394" s="1" t="s">
        <v>74</v>
      </c>
      <c r="R394" s="1"/>
      <c r="S394" s="1"/>
      <c r="T394" s="1">
        <v>5106158.0</v>
      </c>
      <c r="U394" s="1" t="s">
        <v>1700</v>
      </c>
      <c r="V394" s="1" t="s">
        <v>164</v>
      </c>
      <c r="W394" s="1" t="s">
        <v>177</v>
      </c>
      <c r="X394" s="1"/>
      <c r="Y394" s="1"/>
      <c r="Z394" s="1" t="s">
        <v>147</v>
      </c>
      <c r="AA394" s="1" t="s">
        <v>1998</v>
      </c>
      <c r="AB394" s="1" t="str">
        <f>"***085471**"</f>
        <v>***085471**</v>
      </c>
      <c r="AC394" s="1"/>
      <c r="AD394" s="1" t="s">
        <v>116</v>
      </c>
      <c r="AE394" s="1"/>
      <c r="AF394" s="1">
        <v>-58.018333</v>
      </c>
      <c r="AG394" s="1">
        <v>-9.931666</v>
      </c>
      <c r="AH394" s="1" t="s">
        <v>1999</v>
      </c>
      <c r="AI394" s="1"/>
      <c r="AJ394" s="1" t="s">
        <v>172</v>
      </c>
      <c r="AK394" s="1"/>
      <c r="AL394" s="1"/>
      <c r="AM394" s="1" t="s">
        <v>65</v>
      </c>
      <c r="AN394" s="1" t="s">
        <v>1703</v>
      </c>
      <c r="AO394" s="1"/>
      <c r="AP394" s="2">
        <v>44018.8742939815</v>
      </c>
      <c r="AQ394" s="1"/>
      <c r="AR394" s="1" t="s">
        <v>871</v>
      </c>
      <c r="AS394" s="1"/>
      <c r="AT394" s="2">
        <v>44269.931099537</v>
      </c>
    </row>
    <row r="395" ht="13.5" customHeight="1">
      <c r="A395" s="1"/>
      <c r="B395" s="1" t="s">
        <v>46</v>
      </c>
      <c r="C395" s="1" t="s">
        <v>47</v>
      </c>
      <c r="D395" s="1"/>
      <c r="E395" s="1" t="s">
        <v>2000</v>
      </c>
      <c r="F395" s="1"/>
      <c r="G395" s="1" t="s">
        <v>49</v>
      </c>
      <c r="H395" s="1" t="s">
        <v>93</v>
      </c>
      <c r="I395" s="1">
        <v>1485000.0</v>
      </c>
      <c r="J395" s="1"/>
      <c r="K395" s="1"/>
      <c r="L395" s="1"/>
      <c r="M395" s="1" t="s">
        <v>2001</v>
      </c>
      <c r="N395" s="1" t="s">
        <v>142</v>
      </c>
      <c r="O395" s="1" t="s">
        <v>143</v>
      </c>
      <c r="P395" s="2">
        <v>43809.9601851852</v>
      </c>
      <c r="Q395" s="1" t="s">
        <v>373</v>
      </c>
      <c r="R395" s="1"/>
      <c r="S395" s="1"/>
      <c r="T395" s="1">
        <v>1100320.0</v>
      </c>
      <c r="U395" s="1" t="s">
        <v>1851</v>
      </c>
      <c r="V395" s="1" t="s">
        <v>448</v>
      </c>
      <c r="W395" s="1" t="s">
        <v>177</v>
      </c>
      <c r="X395" s="1"/>
      <c r="Y395" s="1"/>
      <c r="Z395" s="1" t="s">
        <v>147</v>
      </c>
      <c r="AA395" s="1" t="s">
        <v>2002</v>
      </c>
      <c r="AB395" s="1" t="str">
        <f>"***120839**"</f>
        <v>***120839**</v>
      </c>
      <c r="AC395" s="1"/>
      <c r="AD395" s="1" t="s">
        <v>116</v>
      </c>
      <c r="AE395" s="1"/>
      <c r="AF395" s="1">
        <v>-63.047779</v>
      </c>
      <c r="AG395" s="1">
        <v>-12.055278</v>
      </c>
      <c r="AH395" s="1" t="s">
        <v>2003</v>
      </c>
      <c r="AI395" s="1"/>
      <c r="AJ395" s="1" t="s">
        <v>172</v>
      </c>
      <c r="AK395" s="1"/>
      <c r="AL395" s="1"/>
      <c r="AM395" s="1" t="s">
        <v>65</v>
      </c>
      <c r="AN395" s="1" t="s">
        <v>1395</v>
      </c>
      <c r="AO395" s="1"/>
      <c r="AP395" s="2">
        <v>43809.9775578704</v>
      </c>
      <c r="AQ395" s="1"/>
      <c r="AR395" s="1" t="s">
        <v>871</v>
      </c>
      <c r="AS395" s="1"/>
      <c r="AT395" s="2">
        <v>44269.931099537</v>
      </c>
    </row>
    <row r="396" ht="13.5" customHeight="1">
      <c r="A396" s="1">
        <v>2038027.0</v>
      </c>
      <c r="B396" s="1" t="s">
        <v>67</v>
      </c>
      <c r="C396" s="1" t="s">
        <v>68</v>
      </c>
      <c r="D396" s="1" t="s">
        <v>46</v>
      </c>
      <c r="E396" s="1" t="s">
        <v>2004</v>
      </c>
      <c r="F396" s="1"/>
      <c r="G396" s="1" t="s">
        <v>70</v>
      </c>
      <c r="H396" s="1" t="s">
        <v>93</v>
      </c>
      <c r="I396" s="1">
        <v>600000.0</v>
      </c>
      <c r="J396" s="1"/>
      <c r="K396" s="1"/>
      <c r="L396" s="1" t="s">
        <v>172</v>
      </c>
      <c r="M396" s="1" t="s">
        <v>2005</v>
      </c>
      <c r="N396" s="1" t="s">
        <v>142</v>
      </c>
      <c r="O396" s="1" t="s">
        <v>143</v>
      </c>
      <c r="P396" s="2">
        <v>43809.9166666667</v>
      </c>
      <c r="Q396" s="1" t="s">
        <v>74</v>
      </c>
      <c r="R396" s="1"/>
      <c r="S396" s="1"/>
      <c r="T396" s="1">
        <v>5106158.0</v>
      </c>
      <c r="U396" s="1" t="s">
        <v>1700</v>
      </c>
      <c r="V396" s="1" t="s">
        <v>164</v>
      </c>
      <c r="W396" s="1" t="s">
        <v>177</v>
      </c>
      <c r="X396" s="1"/>
      <c r="Y396" s="1" t="str">
        <f>"02001001891202099"</f>
        <v>02001001891202099</v>
      </c>
      <c r="Z396" s="1" t="s">
        <v>147</v>
      </c>
      <c r="AA396" s="1" t="s">
        <v>2006</v>
      </c>
      <c r="AB396" s="1" t="str">
        <f>"***259603**"</f>
        <v>***259603**</v>
      </c>
      <c r="AC396" s="1"/>
      <c r="AD396" s="1"/>
      <c r="AE396" s="1"/>
      <c r="AF396" s="1">
        <v>-58.102501</v>
      </c>
      <c r="AG396" s="1">
        <v>-9.883056</v>
      </c>
      <c r="AH396" s="1" t="s">
        <v>2007</v>
      </c>
      <c r="AI396" s="1"/>
      <c r="AJ396" s="1" t="s">
        <v>172</v>
      </c>
      <c r="AK396" s="1"/>
      <c r="AL396" s="1" t="s">
        <v>79</v>
      </c>
      <c r="AM396" s="1" t="s">
        <v>65</v>
      </c>
      <c r="AN396" s="1" t="s">
        <v>1703</v>
      </c>
      <c r="AO396" s="2">
        <v>44018.0</v>
      </c>
      <c r="AP396" s="2">
        <v>44018.752337963</v>
      </c>
      <c r="AQ396" s="1" t="s">
        <v>80</v>
      </c>
      <c r="AR396" s="1" t="s">
        <v>421</v>
      </c>
      <c r="AS396" s="1"/>
      <c r="AT396" s="2">
        <v>44269.931099537</v>
      </c>
    </row>
    <row r="397" ht="13.5" customHeight="1">
      <c r="A397" s="1">
        <v>2034445.0</v>
      </c>
      <c r="B397" s="1" t="s">
        <v>67</v>
      </c>
      <c r="C397" s="1" t="s">
        <v>68</v>
      </c>
      <c r="D397" s="1" t="s">
        <v>46</v>
      </c>
      <c r="E397" s="1" t="s">
        <v>2008</v>
      </c>
      <c r="F397" s="1"/>
      <c r="G397" s="1" t="s">
        <v>70</v>
      </c>
      <c r="H397" s="1"/>
      <c r="I397" s="1">
        <v>500000.0</v>
      </c>
      <c r="J397" s="1"/>
      <c r="K397" s="1"/>
      <c r="L397" s="1" t="s">
        <v>196</v>
      </c>
      <c r="M397" s="1" t="s">
        <v>2009</v>
      </c>
      <c r="N397" s="1" t="s">
        <v>142</v>
      </c>
      <c r="O397" s="1" t="s">
        <v>143</v>
      </c>
      <c r="P397" s="2">
        <v>43809.8611111111</v>
      </c>
      <c r="Q397" s="1" t="s">
        <v>373</v>
      </c>
      <c r="R397" s="1"/>
      <c r="S397" s="1"/>
      <c r="T397" s="1">
        <v>5106158.0</v>
      </c>
      <c r="U397" s="1" t="s">
        <v>1700</v>
      </c>
      <c r="V397" s="1" t="s">
        <v>164</v>
      </c>
      <c r="W397" s="1" t="s">
        <v>177</v>
      </c>
      <c r="X397" s="1"/>
      <c r="Y397" s="1" t="str">
        <f>"02001002848202041"</f>
        <v>02001002848202041</v>
      </c>
      <c r="Z397" s="1" t="s">
        <v>147</v>
      </c>
      <c r="AA397" s="1" t="s">
        <v>2010</v>
      </c>
      <c r="AB397" s="1" t="str">
        <f>"***484669**"</f>
        <v>***484669**</v>
      </c>
      <c r="AC397" s="1"/>
      <c r="AD397" s="1" t="s">
        <v>116</v>
      </c>
      <c r="AE397" s="1"/>
      <c r="AF397" s="1">
        <v>0.0</v>
      </c>
      <c r="AG397" s="1">
        <v>0.0</v>
      </c>
      <c r="AH397" s="1" t="s">
        <v>2011</v>
      </c>
      <c r="AI397" s="1"/>
      <c r="AJ397" s="1"/>
      <c r="AK397" s="1"/>
      <c r="AL397" s="1" t="s">
        <v>118</v>
      </c>
      <c r="AM397" s="1"/>
      <c r="AN397" s="1"/>
      <c r="AO397" s="2">
        <v>43857.5468171296</v>
      </c>
      <c r="AP397" s="2">
        <v>43873.6386921296</v>
      </c>
      <c r="AQ397" s="1" t="s">
        <v>80</v>
      </c>
      <c r="AR397" s="1" t="s">
        <v>2012</v>
      </c>
      <c r="AS397" s="1"/>
      <c r="AT397" s="2">
        <v>44269.931099537</v>
      </c>
    </row>
    <row r="398" ht="13.5" customHeight="1">
      <c r="A398" s="1"/>
      <c r="B398" s="1" t="s">
        <v>46</v>
      </c>
      <c r="C398" s="1" t="s">
        <v>47</v>
      </c>
      <c r="D398" s="1"/>
      <c r="E398" s="1" t="s">
        <v>2013</v>
      </c>
      <c r="F398" s="1"/>
      <c r="G398" s="1" t="s">
        <v>49</v>
      </c>
      <c r="H398" s="1" t="s">
        <v>93</v>
      </c>
      <c r="I398" s="1">
        <v>7788.0</v>
      </c>
      <c r="J398" s="1"/>
      <c r="K398" s="1"/>
      <c r="L398" s="1"/>
      <c r="M398" s="1" t="s">
        <v>2014</v>
      </c>
      <c r="N398" s="1" t="s">
        <v>142</v>
      </c>
      <c r="O398" s="1" t="s">
        <v>143</v>
      </c>
      <c r="P398" s="2">
        <v>43809.8487731482</v>
      </c>
      <c r="Q398" s="1" t="s">
        <v>373</v>
      </c>
      <c r="R398" s="1"/>
      <c r="S398" s="1"/>
      <c r="T398" s="1">
        <v>1504208.0</v>
      </c>
      <c r="U398" s="1" t="s">
        <v>1940</v>
      </c>
      <c r="V398" s="1" t="s">
        <v>193</v>
      </c>
      <c r="W398" s="1" t="s">
        <v>177</v>
      </c>
      <c r="X398" s="1"/>
      <c r="Y398" s="1"/>
      <c r="Z398" s="1" t="s">
        <v>147</v>
      </c>
      <c r="AA398" s="1" t="s">
        <v>2015</v>
      </c>
      <c r="AB398" s="1" t="str">
        <f>"31570123000191"</f>
        <v>31570123000191</v>
      </c>
      <c r="AC398" s="1"/>
      <c r="AD398" s="1" t="s">
        <v>149</v>
      </c>
      <c r="AE398" s="1"/>
      <c r="AF398" s="1">
        <v>-49.129719</v>
      </c>
      <c r="AG398" s="1">
        <v>-5.375</v>
      </c>
      <c r="AH398" s="1" t="s">
        <v>2016</v>
      </c>
      <c r="AI398" s="1"/>
      <c r="AJ398" s="1" t="s">
        <v>1172</v>
      </c>
      <c r="AK398" s="1"/>
      <c r="AL398" s="1"/>
      <c r="AM398" s="1" t="s">
        <v>65</v>
      </c>
      <c r="AN398" s="1" t="s">
        <v>1173</v>
      </c>
      <c r="AO398" s="1"/>
      <c r="AP398" s="2">
        <v>44011.8496990741</v>
      </c>
      <c r="AQ398" s="1"/>
      <c r="AR398" s="1" t="s">
        <v>280</v>
      </c>
      <c r="AS398" s="1"/>
      <c r="AT398" s="2">
        <v>44269.931099537</v>
      </c>
    </row>
    <row r="399" ht="13.5" customHeight="1">
      <c r="A399" s="1"/>
      <c r="B399" s="1" t="s">
        <v>46</v>
      </c>
      <c r="C399" s="1" t="s">
        <v>47</v>
      </c>
      <c r="D399" s="1"/>
      <c r="E399" s="1" t="s">
        <v>2017</v>
      </c>
      <c r="F399" s="1"/>
      <c r="G399" s="1" t="s">
        <v>49</v>
      </c>
      <c r="H399" s="1" t="s">
        <v>93</v>
      </c>
      <c r="I399" s="1">
        <v>2000.0</v>
      </c>
      <c r="J399" s="1"/>
      <c r="K399" s="1"/>
      <c r="L399" s="1"/>
      <c r="M399" s="1" t="s">
        <v>2018</v>
      </c>
      <c r="N399" s="1" t="s">
        <v>72</v>
      </c>
      <c r="O399" s="1" t="s">
        <v>1364</v>
      </c>
      <c r="P399" s="2">
        <v>43809.7962152778</v>
      </c>
      <c r="Q399" s="1" t="s">
        <v>373</v>
      </c>
      <c r="R399" s="1"/>
      <c r="S399" s="1"/>
      <c r="T399" s="1">
        <v>2313203.0</v>
      </c>
      <c r="U399" s="1" t="s">
        <v>1385</v>
      </c>
      <c r="V399" s="1" t="s">
        <v>112</v>
      </c>
      <c r="W399" s="1" t="s">
        <v>113</v>
      </c>
      <c r="X399" s="1"/>
      <c r="Y399" s="1"/>
      <c r="Z399" s="1"/>
      <c r="AA399" s="1" t="s">
        <v>2019</v>
      </c>
      <c r="AB399" s="1" t="str">
        <f>"***712723**"</f>
        <v>***712723**</v>
      </c>
      <c r="AC399" s="1"/>
      <c r="AD399" s="1" t="s">
        <v>149</v>
      </c>
      <c r="AE399" s="1"/>
      <c r="AF399" s="1">
        <v>-40.469723</v>
      </c>
      <c r="AG399" s="1">
        <v>-4.916389</v>
      </c>
      <c r="AH399" s="1" t="s">
        <v>2020</v>
      </c>
      <c r="AI399" s="1"/>
      <c r="AJ399" s="1" t="s">
        <v>898</v>
      </c>
      <c r="AK399" s="1"/>
      <c r="AL399" s="1"/>
      <c r="AM399" s="1" t="s">
        <v>65</v>
      </c>
      <c r="AN399" s="1" t="s">
        <v>1781</v>
      </c>
      <c r="AO399" s="1"/>
      <c r="AP399" s="2">
        <v>43998.6410763889</v>
      </c>
      <c r="AQ399" s="1"/>
      <c r="AR399" s="1" t="s">
        <v>2021</v>
      </c>
      <c r="AS399" s="1"/>
      <c r="AT399" s="2">
        <v>44269.931099537</v>
      </c>
    </row>
    <row r="400" ht="13.5" customHeight="1">
      <c r="A400" s="1">
        <v>2036306.0</v>
      </c>
      <c r="B400" s="1" t="s">
        <v>67</v>
      </c>
      <c r="C400" s="1" t="s">
        <v>68</v>
      </c>
      <c r="D400" s="1" t="s">
        <v>46</v>
      </c>
      <c r="E400" s="1" t="s">
        <v>2022</v>
      </c>
      <c r="F400" s="1"/>
      <c r="G400" s="1" t="s">
        <v>70</v>
      </c>
      <c r="H400" s="1" t="s">
        <v>50</v>
      </c>
      <c r="I400" s="1">
        <v>10000.0</v>
      </c>
      <c r="J400" s="1"/>
      <c r="K400" s="1"/>
      <c r="L400" s="1" t="s">
        <v>151</v>
      </c>
      <c r="M400" s="1" t="s">
        <v>2023</v>
      </c>
      <c r="N400" s="1" t="s">
        <v>283</v>
      </c>
      <c r="O400" s="1" t="s">
        <v>978</v>
      </c>
      <c r="P400" s="2">
        <v>43809.75</v>
      </c>
      <c r="Q400" s="1" t="s">
        <v>373</v>
      </c>
      <c r="R400" s="3">
        <v>43809.0</v>
      </c>
      <c r="S400" s="1"/>
      <c r="T400" s="1">
        <v>4315305.0</v>
      </c>
      <c r="U400" s="1" t="s">
        <v>2024</v>
      </c>
      <c r="V400" s="1" t="s">
        <v>145</v>
      </c>
      <c r="W400" s="1" t="s">
        <v>146</v>
      </c>
      <c r="X400" s="1"/>
      <c r="Y400" s="1" t="str">
        <f>"02023001314202049"</f>
        <v>02023001314202049</v>
      </c>
      <c r="Z400" s="1" t="s">
        <v>980</v>
      </c>
      <c r="AA400" s="1" t="s">
        <v>2025</v>
      </c>
      <c r="AB400" s="1" t="str">
        <f>"***431110**"</f>
        <v>***431110**</v>
      </c>
      <c r="AC400" s="1"/>
      <c r="AD400" s="1"/>
      <c r="AE400" s="1"/>
      <c r="AF400" s="1">
        <v>-56.47472</v>
      </c>
      <c r="AG400" s="1">
        <v>-30.3025</v>
      </c>
      <c r="AH400" s="1" t="s">
        <v>2026</v>
      </c>
      <c r="AI400" s="1"/>
      <c r="AJ400" s="1" t="s">
        <v>151</v>
      </c>
      <c r="AK400" s="1"/>
      <c r="AL400" s="1" t="s">
        <v>79</v>
      </c>
      <c r="AM400" s="1" t="s">
        <v>65</v>
      </c>
      <c r="AN400" s="1" t="s">
        <v>1551</v>
      </c>
      <c r="AO400" s="2">
        <v>43945.0</v>
      </c>
      <c r="AP400" s="2">
        <v>43945.4114236111</v>
      </c>
      <c r="AQ400" s="1" t="s">
        <v>80</v>
      </c>
      <c r="AR400" s="1" t="s">
        <v>462</v>
      </c>
      <c r="AS400" s="1" t="s">
        <v>2027</v>
      </c>
      <c r="AT400" s="2">
        <v>44269.931099537</v>
      </c>
    </row>
    <row r="401" ht="13.5" customHeight="1">
      <c r="A401" s="1">
        <v>2037531.0</v>
      </c>
      <c r="B401" s="1" t="s">
        <v>67</v>
      </c>
      <c r="C401" s="1" t="s">
        <v>68</v>
      </c>
      <c r="D401" s="1" t="s">
        <v>46</v>
      </c>
      <c r="E401" s="1" t="s">
        <v>2028</v>
      </c>
      <c r="F401" s="1"/>
      <c r="G401" s="1" t="s">
        <v>70</v>
      </c>
      <c r="H401" s="1" t="s">
        <v>50</v>
      </c>
      <c r="I401" s="1">
        <v>104000.0</v>
      </c>
      <c r="J401" s="1"/>
      <c r="K401" s="1"/>
      <c r="L401" s="1" t="s">
        <v>291</v>
      </c>
      <c r="M401" s="1" t="s">
        <v>2029</v>
      </c>
      <c r="N401" s="1" t="s">
        <v>283</v>
      </c>
      <c r="O401" s="1" t="s">
        <v>284</v>
      </c>
      <c r="P401" s="2">
        <v>43809.75</v>
      </c>
      <c r="Q401" s="1" t="s">
        <v>74</v>
      </c>
      <c r="R401" s="3">
        <v>43867.0</v>
      </c>
      <c r="S401" s="1"/>
      <c r="T401" s="1">
        <v>3304557.0</v>
      </c>
      <c r="U401" s="1" t="s">
        <v>286</v>
      </c>
      <c r="V401" s="1" t="s">
        <v>287</v>
      </c>
      <c r="W401" s="1" t="s">
        <v>288</v>
      </c>
      <c r="X401" s="1"/>
      <c r="Y401" s="1" t="str">
        <f>"02022005100201918"</f>
        <v>02022005100201918</v>
      </c>
      <c r="Z401" s="1" t="s">
        <v>128</v>
      </c>
      <c r="AA401" s="1" t="s">
        <v>289</v>
      </c>
      <c r="AB401" s="1" t="str">
        <f>"33000167000101"</f>
        <v>33000167000101</v>
      </c>
      <c r="AC401" s="1"/>
      <c r="AD401" s="1"/>
      <c r="AE401" s="1"/>
      <c r="AF401" s="1">
        <v>-43.175003</v>
      </c>
      <c r="AG401" s="1">
        <v>-22.903334</v>
      </c>
      <c r="AH401" s="1" t="s">
        <v>290</v>
      </c>
      <c r="AI401" s="1"/>
      <c r="AJ401" s="1" t="s">
        <v>291</v>
      </c>
      <c r="AK401" s="1"/>
      <c r="AL401" s="1" t="s">
        <v>79</v>
      </c>
      <c r="AM401" s="1" t="s">
        <v>65</v>
      </c>
      <c r="AN401" s="1" t="s">
        <v>292</v>
      </c>
      <c r="AO401" s="2">
        <v>44000.0</v>
      </c>
      <c r="AP401" s="2">
        <v>44000.4078703704</v>
      </c>
      <c r="AQ401" s="1" t="s">
        <v>80</v>
      </c>
      <c r="AR401" s="1" t="s">
        <v>298</v>
      </c>
      <c r="AS401" s="1" t="s">
        <v>2030</v>
      </c>
      <c r="AT401" s="2">
        <v>44269.931099537</v>
      </c>
    </row>
    <row r="402" ht="13.5" customHeight="1">
      <c r="A402" s="1">
        <v>2043184.0</v>
      </c>
      <c r="B402" s="1" t="s">
        <v>67</v>
      </c>
      <c r="C402" s="1" t="s">
        <v>68</v>
      </c>
      <c r="D402" s="1" t="s">
        <v>46</v>
      </c>
      <c r="E402" s="1" t="s">
        <v>2031</v>
      </c>
      <c r="F402" s="1"/>
      <c r="G402" s="1" t="s">
        <v>70</v>
      </c>
      <c r="H402" s="1" t="s">
        <v>93</v>
      </c>
      <c r="I402" s="1">
        <v>10000.0</v>
      </c>
      <c r="J402" s="1"/>
      <c r="K402" s="1"/>
      <c r="L402" s="1" t="s">
        <v>731</v>
      </c>
      <c r="M402" s="1" t="s">
        <v>2032</v>
      </c>
      <c r="N402" s="1" t="s">
        <v>283</v>
      </c>
      <c r="O402" s="1" t="s">
        <v>1364</v>
      </c>
      <c r="P402" s="2">
        <v>43809.75</v>
      </c>
      <c r="Q402" s="1" t="s">
        <v>55</v>
      </c>
      <c r="R402" s="1"/>
      <c r="S402" s="1"/>
      <c r="T402" s="1">
        <v>2513703.0</v>
      </c>
      <c r="U402" s="1" t="s">
        <v>1682</v>
      </c>
      <c r="V402" s="1" t="s">
        <v>728</v>
      </c>
      <c r="W402" s="1" t="s">
        <v>59</v>
      </c>
      <c r="X402" s="1"/>
      <c r="Y402" s="1" t="str">
        <f>"02016000105202077"</f>
        <v>02016000105202077</v>
      </c>
      <c r="Z402" s="1" t="s">
        <v>128</v>
      </c>
      <c r="AA402" s="1" t="s">
        <v>2033</v>
      </c>
      <c r="AB402" s="1" t="str">
        <f>"09090259000145"</f>
        <v>09090259000145</v>
      </c>
      <c r="AC402" s="1"/>
      <c r="AD402" s="1"/>
      <c r="AE402" s="1"/>
      <c r="AF402" s="1">
        <v>-35.165833</v>
      </c>
      <c r="AG402" s="1">
        <v>-7.031667</v>
      </c>
      <c r="AH402" s="1" t="s">
        <v>2034</v>
      </c>
      <c r="AI402" s="1"/>
      <c r="AJ402" s="1" t="s">
        <v>731</v>
      </c>
      <c r="AK402" s="1"/>
      <c r="AL402" s="1" t="s">
        <v>79</v>
      </c>
      <c r="AM402" s="1" t="s">
        <v>65</v>
      </c>
      <c r="AN402" s="1" t="s">
        <v>1551</v>
      </c>
      <c r="AO402" s="2">
        <v>44230.0</v>
      </c>
      <c r="AP402" s="2">
        <v>44230.5145601852</v>
      </c>
      <c r="AQ402" s="1" t="s">
        <v>80</v>
      </c>
      <c r="AR402" s="1" t="s">
        <v>1576</v>
      </c>
      <c r="AS402" s="1" t="s">
        <v>2035</v>
      </c>
      <c r="AT402" s="2">
        <v>44269.931099537</v>
      </c>
    </row>
    <row r="403" ht="13.5" customHeight="1">
      <c r="A403" s="1">
        <v>2043482.0</v>
      </c>
      <c r="B403" s="1" t="s">
        <v>67</v>
      </c>
      <c r="C403" s="1" t="s">
        <v>68</v>
      </c>
      <c r="D403" s="1" t="s">
        <v>46</v>
      </c>
      <c r="E403" s="1" t="s">
        <v>2036</v>
      </c>
      <c r="F403" s="1"/>
      <c r="G403" s="1" t="s">
        <v>70</v>
      </c>
      <c r="H403" s="1" t="s">
        <v>93</v>
      </c>
      <c r="I403" s="1">
        <v>8733.0</v>
      </c>
      <c r="J403" s="1"/>
      <c r="K403" s="1"/>
      <c r="L403" s="1" t="s">
        <v>371</v>
      </c>
      <c r="M403" s="1" t="s">
        <v>2037</v>
      </c>
      <c r="N403" s="1" t="s">
        <v>142</v>
      </c>
      <c r="O403" s="1" t="s">
        <v>143</v>
      </c>
      <c r="P403" s="2">
        <v>43809.75</v>
      </c>
      <c r="Q403" s="1" t="s">
        <v>74</v>
      </c>
      <c r="R403" s="1"/>
      <c r="S403" s="1"/>
      <c r="T403" s="1">
        <v>1100403.0</v>
      </c>
      <c r="U403" s="1" t="s">
        <v>2038</v>
      </c>
      <c r="V403" s="1" t="s">
        <v>448</v>
      </c>
      <c r="W403" s="1" t="s">
        <v>177</v>
      </c>
      <c r="X403" s="1"/>
      <c r="Y403" s="1" t="str">
        <f>"02010004068201992"</f>
        <v>02010004068201992</v>
      </c>
      <c r="Z403" s="1" t="s">
        <v>147</v>
      </c>
      <c r="AA403" s="1" t="s">
        <v>2039</v>
      </c>
      <c r="AB403" s="1" t="str">
        <f>"***334072**"</f>
        <v>***334072**</v>
      </c>
      <c r="AC403" s="1"/>
      <c r="AD403" s="1"/>
      <c r="AE403" s="1"/>
      <c r="AF403" s="1">
        <v>-63.333611</v>
      </c>
      <c r="AG403" s="1">
        <v>-9.752222</v>
      </c>
      <c r="AH403" s="1" t="s">
        <v>2040</v>
      </c>
      <c r="AI403" s="1"/>
      <c r="AJ403" s="1" t="s">
        <v>371</v>
      </c>
      <c r="AK403" s="1"/>
      <c r="AL403" s="1" t="s">
        <v>79</v>
      </c>
      <c r="AM403" s="1" t="s">
        <v>65</v>
      </c>
      <c r="AN403" s="1" t="s">
        <v>378</v>
      </c>
      <c r="AO403" s="2">
        <v>44239.0</v>
      </c>
      <c r="AP403" s="2">
        <v>44239.701712963</v>
      </c>
      <c r="AQ403" s="1" t="s">
        <v>80</v>
      </c>
      <c r="AR403" s="1" t="s">
        <v>181</v>
      </c>
      <c r="AS403" s="1"/>
      <c r="AT403" s="2">
        <v>44269.931099537</v>
      </c>
    </row>
    <row r="404" ht="13.5" customHeight="1">
      <c r="A404" s="1"/>
      <c r="B404" s="1" t="s">
        <v>46</v>
      </c>
      <c r="C404" s="1" t="s">
        <v>47</v>
      </c>
      <c r="D404" s="1"/>
      <c r="E404" s="1" t="s">
        <v>2041</v>
      </c>
      <c r="F404" s="1"/>
      <c r="G404" s="1" t="s">
        <v>49</v>
      </c>
      <c r="H404" s="1" t="s">
        <v>93</v>
      </c>
      <c r="I404" s="1">
        <v>170000.0</v>
      </c>
      <c r="J404" s="1"/>
      <c r="K404" s="1"/>
      <c r="L404" s="1"/>
      <c r="M404" s="1" t="s">
        <v>2042</v>
      </c>
      <c r="N404" s="1" t="s">
        <v>142</v>
      </c>
      <c r="O404" s="1" t="s">
        <v>143</v>
      </c>
      <c r="P404" s="2">
        <v>43809.7398148148</v>
      </c>
      <c r="Q404" s="1" t="s">
        <v>74</v>
      </c>
      <c r="R404" s="1"/>
      <c r="S404" s="1"/>
      <c r="T404" s="1">
        <v>1504752.0</v>
      </c>
      <c r="U404" s="1" t="s">
        <v>2043</v>
      </c>
      <c r="V404" s="1" t="s">
        <v>193</v>
      </c>
      <c r="W404" s="1" t="s">
        <v>177</v>
      </c>
      <c r="X404" s="1"/>
      <c r="Y404" s="1"/>
      <c r="Z404" s="1" t="s">
        <v>147</v>
      </c>
      <c r="AA404" s="1" t="s">
        <v>2044</v>
      </c>
      <c r="AB404" s="1" t="str">
        <f>"***595212**"</f>
        <v>***595212**</v>
      </c>
      <c r="AC404" s="1">
        <v>0.0</v>
      </c>
      <c r="AD404" s="1" t="s">
        <v>116</v>
      </c>
      <c r="AE404" s="1"/>
      <c r="AF404" s="1">
        <v>-54.856388</v>
      </c>
      <c r="AG404" s="1">
        <v>-3.063611</v>
      </c>
      <c r="AH404" s="1" t="s">
        <v>2045</v>
      </c>
      <c r="AI404" s="1"/>
      <c r="AJ404" s="1" t="s">
        <v>172</v>
      </c>
      <c r="AK404" s="1"/>
      <c r="AL404" s="1"/>
      <c r="AM404" s="1" t="s">
        <v>65</v>
      </c>
      <c r="AN404" s="1" t="s">
        <v>1395</v>
      </c>
      <c r="AO404" s="1"/>
      <c r="AP404" s="2">
        <v>43809.7786805556</v>
      </c>
      <c r="AQ404" s="1"/>
      <c r="AR404" s="1" t="s">
        <v>644</v>
      </c>
      <c r="AS404" s="1"/>
      <c r="AT404" s="2">
        <v>44269.931099537</v>
      </c>
    </row>
    <row r="405" ht="13.5" customHeight="1">
      <c r="A405" s="1"/>
      <c r="B405" s="1" t="s">
        <v>46</v>
      </c>
      <c r="C405" s="1" t="s">
        <v>47</v>
      </c>
      <c r="D405" s="1"/>
      <c r="E405" s="1" t="s">
        <v>2046</v>
      </c>
      <c r="F405" s="1"/>
      <c r="G405" s="1" t="s">
        <v>49</v>
      </c>
      <c r="H405" s="1" t="s">
        <v>93</v>
      </c>
      <c r="I405" s="1">
        <v>9932.25</v>
      </c>
      <c r="J405" s="1"/>
      <c r="K405" s="1"/>
      <c r="L405" s="1"/>
      <c r="M405" s="1" t="s">
        <v>2047</v>
      </c>
      <c r="N405" s="1" t="s">
        <v>142</v>
      </c>
      <c r="O405" s="1" t="s">
        <v>143</v>
      </c>
      <c r="P405" s="2">
        <v>43809.7216550926</v>
      </c>
      <c r="Q405" s="1" t="s">
        <v>74</v>
      </c>
      <c r="R405" s="1"/>
      <c r="S405" s="1"/>
      <c r="T405" s="1">
        <v>1100403.0</v>
      </c>
      <c r="U405" s="1" t="s">
        <v>2038</v>
      </c>
      <c r="V405" s="1" t="s">
        <v>448</v>
      </c>
      <c r="W405" s="1" t="s">
        <v>177</v>
      </c>
      <c r="X405" s="1"/>
      <c r="Y405" s="1"/>
      <c r="Z405" s="1" t="s">
        <v>147</v>
      </c>
      <c r="AA405" s="1" t="s">
        <v>2048</v>
      </c>
      <c r="AB405" s="1" t="str">
        <f>"***334072**"</f>
        <v>***334072**</v>
      </c>
      <c r="AC405" s="1"/>
      <c r="AD405" s="1" t="s">
        <v>62</v>
      </c>
      <c r="AE405" s="1"/>
      <c r="AF405" s="1">
        <v>-63.333611</v>
      </c>
      <c r="AG405" s="1">
        <v>-9.752222</v>
      </c>
      <c r="AH405" s="1" t="s">
        <v>2049</v>
      </c>
      <c r="AI405" s="1"/>
      <c r="AJ405" s="1" t="s">
        <v>371</v>
      </c>
      <c r="AK405" s="1"/>
      <c r="AL405" s="1"/>
      <c r="AM405" s="1" t="s">
        <v>65</v>
      </c>
      <c r="AN405" s="1" t="s">
        <v>378</v>
      </c>
      <c r="AO405" s="1"/>
      <c r="AP405" s="2">
        <v>43809.728275463</v>
      </c>
      <c r="AQ405" s="1"/>
      <c r="AR405" s="1" t="s">
        <v>613</v>
      </c>
      <c r="AS405" s="1"/>
      <c r="AT405" s="2">
        <v>44269.931099537</v>
      </c>
    </row>
    <row r="406" ht="13.5" customHeight="1">
      <c r="A406" s="1"/>
      <c r="B406" s="1" t="s">
        <v>46</v>
      </c>
      <c r="C406" s="1" t="s">
        <v>47</v>
      </c>
      <c r="D406" s="1"/>
      <c r="E406" s="1" t="s">
        <v>2050</v>
      </c>
      <c r="F406" s="1"/>
      <c r="G406" s="1" t="s">
        <v>49</v>
      </c>
      <c r="H406" s="1" t="s">
        <v>93</v>
      </c>
      <c r="I406" s="1">
        <v>16000.0</v>
      </c>
      <c r="J406" s="1"/>
      <c r="K406" s="1"/>
      <c r="L406" s="1"/>
      <c r="M406" s="1" t="s">
        <v>2051</v>
      </c>
      <c r="N406" s="1" t="s">
        <v>142</v>
      </c>
      <c r="O406" s="1" t="s">
        <v>143</v>
      </c>
      <c r="P406" s="2">
        <v>43809.7180555556</v>
      </c>
      <c r="Q406" s="1" t="s">
        <v>373</v>
      </c>
      <c r="R406" s="1"/>
      <c r="S406" s="1"/>
      <c r="T406" s="1">
        <v>5007406.0</v>
      </c>
      <c r="U406" s="1" t="s">
        <v>2052</v>
      </c>
      <c r="V406" s="1" t="s">
        <v>529</v>
      </c>
      <c r="W406" s="1" t="s">
        <v>127</v>
      </c>
      <c r="X406" s="1"/>
      <c r="Y406" s="1"/>
      <c r="Z406" s="1" t="s">
        <v>147</v>
      </c>
      <c r="AA406" s="1" t="s">
        <v>2053</v>
      </c>
      <c r="AB406" s="1" t="str">
        <f>"***229511**"</f>
        <v>***229511**</v>
      </c>
      <c r="AC406" s="1"/>
      <c r="AD406" s="1" t="s">
        <v>116</v>
      </c>
      <c r="AE406" s="1"/>
      <c r="AF406" s="1">
        <v>-54.49889</v>
      </c>
      <c r="AG406" s="1">
        <v>-18.901667</v>
      </c>
      <c r="AH406" s="1" t="s">
        <v>2054</v>
      </c>
      <c r="AI406" s="1"/>
      <c r="AJ406" s="1" t="s">
        <v>533</v>
      </c>
      <c r="AK406" s="1"/>
      <c r="AL406" s="1"/>
      <c r="AM406" s="1" t="s">
        <v>65</v>
      </c>
      <c r="AN406" s="1" t="s">
        <v>534</v>
      </c>
      <c r="AO406" s="1"/>
      <c r="AP406" s="2">
        <v>43809.72875</v>
      </c>
      <c r="AQ406" s="1"/>
      <c r="AR406" s="1" t="s">
        <v>2055</v>
      </c>
      <c r="AS406" s="1"/>
      <c r="AT406" s="2">
        <v>44269.931099537</v>
      </c>
    </row>
    <row r="407" ht="13.5" customHeight="1">
      <c r="A407" s="1">
        <v>2035478.0</v>
      </c>
      <c r="B407" s="1" t="s">
        <v>67</v>
      </c>
      <c r="C407" s="1" t="s">
        <v>68</v>
      </c>
      <c r="D407" s="1" t="s">
        <v>46</v>
      </c>
      <c r="E407" s="1" t="s">
        <v>2056</v>
      </c>
      <c r="F407" s="1"/>
      <c r="G407" s="1" t="s">
        <v>70</v>
      </c>
      <c r="H407" s="1" t="s">
        <v>93</v>
      </c>
      <c r="I407" s="1">
        <v>13500.0</v>
      </c>
      <c r="J407" s="1"/>
      <c r="K407" s="1"/>
      <c r="L407" s="1" t="s">
        <v>106</v>
      </c>
      <c r="M407" s="1" t="s">
        <v>2057</v>
      </c>
      <c r="N407" s="1" t="s">
        <v>95</v>
      </c>
      <c r="O407" s="1"/>
      <c r="P407" s="2">
        <v>43809.7125</v>
      </c>
      <c r="Q407" s="1" t="s">
        <v>55</v>
      </c>
      <c r="R407" s="1"/>
      <c r="S407" s="1"/>
      <c r="T407" s="1">
        <v>2313203.0</v>
      </c>
      <c r="U407" s="1" t="s">
        <v>1385</v>
      </c>
      <c r="V407" s="1" t="s">
        <v>112</v>
      </c>
      <c r="W407" s="1" t="s">
        <v>113</v>
      </c>
      <c r="X407" s="1"/>
      <c r="Y407" s="1" t="str">
        <f>"02007000092202045"</f>
        <v>02007000092202045</v>
      </c>
      <c r="Z407" s="1" t="s">
        <v>1267</v>
      </c>
      <c r="AA407" s="1" t="s">
        <v>2058</v>
      </c>
      <c r="AB407" s="1" t="str">
        <f>"***778363**"</f>
        <v>***778363**</v>
      </c>
      <c r="AC407" s="1"/>
      <c r="AD407" s="1" t="s">
        <v>116</v>
      </c>
      <c r="AE407" s="1"/>
      <c r="AF407" s="1">
        <v>0.0</v>
      </c>
      <c r="AG407" s="1">
        <v>0.0</v>
      </c>
      <c r="AH407" s="1" t="s">
        <v>1269</v>
      </c>
      <c r="AI407" s="1"/>
      <c r="AJ407" s="1"/>
      <c r="AK407" s="1"/>
      <c r="AL407" s="1" t="s">
        <v>118</v>
      </c>
      <c r="AM407" s="1"/>
      <c r="AN407" s="1"/>
      <c r="AO407" s="2">
        <v>43906.4543865741</v>
      </c>
      <c r="AP407" s="2">
        <v>43906.4543865741</v>
      </c>
      <c r="AQ407" s="1" t="s">
        <v>80</v>
      </c>
      <c r="AR407" s="1" t="s">
        <v>2059</v>
      </c>
      <c r="AS407" s="1"/>
      <c r="AT407" s="2">
        <v>44269.931099537</v>
      </c>
    </row>
    <row r="408" ht="13.5" customHeight="1">
      <c r="A408" s="1">
        <v>2037171.0</v>
      </c>
      <c r="B408" s="1" t="s">
        <v>67</v>
      </c>
      <c r="C408" s="1" t="s">
        <v>68</v>
      </c>
      <c r="D408" s="1" t="s">
        <v>46</v>
      </c>
      <c r="E408" s="1" t="s">
        <v>2060</v>
      </c>
      <c r="F408" s="1"/>
      <c r="G408" s="1" t="s">
        <v>70</v>
      </c>
      <c r="H408" s="1" t="s">
        <v>93</v>
      </c>
      <c r="I408" s="1">
        <v>48368.62</v>
      </c>
      <c r="J408" s="1"/>
      <c r="K408" s="1"/>
      <c r="L408" s="1" t="s">
        <v>2061</v>
      </c>
      <c r="M408" s="1" t="s">
        <v>2062</v>
      </c>
      <c r="N408" s="1" t="s">
        <v>142</v>
      </c>
      <c r="O408" s="1" t="s">
        <v>143</v>
      </c>
      <c r="P408" s="2">
        <v>43809.7083333333</v>
      </c>
      <c r="Q408" s="1" t="s">
        <v>373</v>
      </c>
      <c r="R408" s="3">
        <v>43809.0</v>
      </c>
      <c r="S408" s="1"/>
      <c r="T408" s="1">
        <v>5101407.0</v>
      </c>
      <c r="U408" s="1" t="s">
        <v>1157</v>
      </c>
      <c r="V408" s="1" t="s">
        <v>164</v>
      </c>
      <c r="W408" s="1" t="s">
        <v>177</v>
      </c>
      <c r="X408" s="1"/>
      <c r="Y408" s="1" t="str">
        <f>"02055000211202094"</f>
        <v>02055000211202094</v>
      </c>
      <c r="Z408" s="1" t="s">
        <v>147</v>
      </c>
      <c r="AA408" s="1" t="s">
        <v>2063</v>
      </c>
      <c r="AB408" s="1" t="str">
        <f>"***497861**"</f>
        <v>***497861**</v>
      </c>
      <c r="AC408" s="1"/>
      <c r="AD408" s="1"/>
      <c r="AE408" s="1"/>
      <c r="AF408" s="1">
        <v>-59.534168</v>
      </c>
      <c r="AG408" s="1">
        <v>-10.119167</v>
      </c>
      <c r="AH408" s="1" t="s">
        <v>2064</v>
      </c>
      <c r="AI408" s="1"/>
      <c r="AJ408" s="1" t="s">
        <v>2061</v>
      </c>
      <c r="AK408" s="1"/>
      <c r="AL408" s="1" t="s">
        <v>79</v>
      </c>
      <c r="AM408" s="1" t="s">
        <v>65</v>
      </c>
      <c r="AN408" s="1"/>
      <c r="AO408" s="2">
        <v>43986.0</v>
      </c>
      <c r="AP408" s="2">
        <v>43986.5347453704</v>
      </c>
      <c r="AQ408" s="1" t="s">
        <v>80</v>
      </c>
      <c r="AR408" s="1" t="s">
        <v>2065</v>
      </c>
      <c r="AS408" s="1"/>
      <c r="AT408" s="2">
        <v>44269.931099537</v>
      </c>
    </row>
    <row r="409" ht="13.5" customHeight="1">
      <c r="A409" s="1"/>
      <c r="B409" s="1" t="s">
        <v>46</v>
      </c>
      <c r="C409" s="1" t="s">
        <v>47</v>
      </c>
      <c r="D409" s="1"/>
      <c r="E409" s="1" t="s">
        <v>2066</v>
      </c>
      <c r="F409" s="1"/>
      <c r="G409" s="1" t="s">
        <v>49</v>
      </c>
      <c r="H409" s="1" t="s">
        <v>50</v>
      </c>
      <c r="I409" s="1">
        <v>100000.0</v>
      </c>
      <c r="J409" s="1"/>
      <c r="K409" s="1" t="s">
        <v>51</v>
      </c>
      <c r="L409" s="1"/>
      <c r="M409" s="1" t="s">
        <v>2067</v>
      </c>
      <c r="N409" s="1" t="s">
        <v>283</v>
      </c>
      <c r="O409" s="1" t="s">
        <v>1133</v>
      </c>
      <c r="P409" s="2">
        <v>43809.7029050926</v>
      </c>
      <c r="Q409" s="1" t="s">
        <v>74</v>
      </c>
      <c r="R409" s="1"/>
      <c r="S409" s="1"/>
      <c r="T409" s="1">
        <v>3204302.0</v>
      </c>
      <c r="U409" s="1" t="s">
        <v>1380</v>
      </c>
      <c r="V409" s="1" t="s">
        <v>403</v>
      </c>
      <c r="W409" s="1" t="s">
        <v>288</v>
      </c>
      <c r="X409" s="1"/>
      <c r="Y409" s="1"/>
      <c r="Z409" s="1" t="s">
        <v>128</v>
      </c>
      <c r="AA409" s="1" t="s">
        <v>1381</v>
      </c>
      <c r="AB409" s="1" t="str">
        <f>"33000167000454"</f>
        <v>33000167000454</v>
      </c>
      <c r="AC409" s="1"/>
      <c r="AD409" s="1" t="s">
        <v>149</v>
      </c>
      <c r="AE409" s="1"/>
      <c r="AF409" s="1">
        <v>-39.966389</v>
      </c>
      <c r="AG409" s="1">
        <v>-22.130001</v>
      </c>
      <c r="AH409" s="1" t="s">
        <v>1382</v>
      </c>
      <c r="AI409" s="1"/>
      <c r="AJ409" s="1" t="s">
        <v>172</v>
      </c>
      <c r="AK409" s="1"/>
      <c r="AL409" s="1"/>
      <c r="AM409" s="1" t="s">
        <v>65</v>
      </c>
      <c r="AN409" s="1" t="s">
        <v>720</v>
      </c>
      <c r="AO409" s="1"/>
      <c r="AP409" s="2">
        <v>44013.7178472222</v>
      </c>
      <c r="AQ409" s="1"/>
      <c r="AR409" s="1" t="s">
        <v>1360</v>
      </c>
      <c r="AS409" s="1" t="s">
        <v>1361</v>
      </c>
      <c r="AT409" s="2">
        <v>44269.931099537</v>
      </c>
    </row>
    <row r="410" ht="13.5" customHeight="1">
      <c r="A410" s="1"/>
      <c r="B410" s="1" t="s">
        <v>46</v>
      </c>
      <c r="C410" s="1" t="s">
        <v>47</v>
      </c>
      <c r="D410" s="1"/>
      <c r="E410" s="1" t="s">
        <v>2068</v>
      </c>
      <c r="F410" s="1"/>
      <c r="G410" s="1" t="s">
        <v>49</v>
      </c>
      <c r="H410" s="1" t="s">
        <v>93</v>
      </c>
      <c r="I410" s="1">
        <v>8283.0</v>
      </c>
      <c r="J410" s="1"/>
      <c r="K410" s="1"/>
      <c r="L410" s="1"/>
      <c r="M410" s="1" t="s">
        <v>2069</v>
      </c>
      <c r="N410" s="1" t="s">
        <v>283</v>
      </c>
      <c r="O410" s="1" t="s">
        <v>1133</v>
      </c>
      <c r="P410" s="2">
        <v>43809.7022222222</v>
      </c>
      <c r="Q410" s="1" t="s">
        <v>74</v>
      </c>
      <c r="R410" s="1"/>
      <c r="S410" s="1"/>
      <c r="T410" s="1">
        <v>1100403.0</v>
      </c>
      <c r="U410" s="1" t="s">
        <v>2038</v>
      </c>
      <c r="V410" s="1" t="s">
        <v>448</v>
      </c>
      <c r="W410" s="1" t="s">
        <v>177</v>
      </c>
      <c r="X410" s="1"/>
      <c r="Y410" s="1"/>
      <c r="Z410" s="1" t="s">
        <v>128</v>
      </c>
      <c r="AA410" s="1" t="s">
        <v>2048</v>
      </c>
      <c r="AB410" s="1" t="str">
        <f>"***334072**"</f>
        <v>***334072**</v>
      </c>
      <c r="AC410" s="1"/>
      <c r="AD410" s="1" t="s">
        <v>62</v>
      </c>
      <c r="AE410" s="1"/>
      <c r="AF410" s="1">
        <v>-63.333611</v>
      </c>
      <c r="AG410" s="1">
        <v>-9.752222</v>
      </c>
      <c r="AH410" s="1" t="s">
        <v>2049</v>
      </c>
      <c r="AI410" s="1"/>
      <c r="AJ410" s="1" t="s">
        <v>371</v>
      </c>
      <c r="AK410" s="1"/>
      <c r="AL410" s="1"/>
      <c r="AM410" s="1" t="s">
        <v>65</v>
      </c>
      <c r="AN410" s="1" t="s">
        <v>378</v>
      </c>
      <c r="AO410" s="1"/>
      <c r="AP410" s="2">
        <v>43809.7086574074</v>
      </c>
      <c r="AQ410" s="1"/>
      <c r="AR410" s="1" t="s">
        <v>613</v>
      </c>
      <c r="AS410" s="1"/>
      <c r="AT410" s="2">
        <v>44269.931099537</v>
      </c>
    </row>
    <row r="411" ht="13.5" customHeight="1">
      <c r="A411" s="1"/>
      <c r="B411" s="1" t="s">
        <v>46</v>
      </c>
      <c r="C411" s="1" t="s">
        <v>47</v>
      </c>
      <c r="D411" s="1"/>
      <c r="E411" s="1" t="s">
        <v>2070</v>
      </c>
      <c r="F411" s="1"/>
      <c r="G411" s="1" t="s">
        <v>49</v>
      </c>
      <c r="H411" s="1" t="s">
        <v>50</v>
      </c>
      <c r="I411" s="1">
        <v>100000.0</v>
      </c>
      <c r="J411" s="1"/>
      <c r="K411" s="1" t="s">
        <v>51</v>
      </c>
      <c r="L411" s="1"/>
      <c r="M411" s="1" t="s">
        <v>2071</v>
      </c>
      <c r="N411" s="1" t="s">
        <v>283</v>
      </c>
      <c r="O411" s="1" t="s">
        <v>1133</v>
      </c>
      <c r="P411" s="2">
        <v>43809.6961458333</v>
      </c>
      <c r="Q411" s="1" t="s">
        <v>74</v>
      </c>
      <c r="R411" s="1"/>
      <c r="S411" s="1"/>
      <c r="T411" s="1">
        <v>3204302.0</v>
      </c>
      <c r="U411" s="1" t="s">
        <v>1380</v>
      </c>
      <c r="V411" s="1" t="s">
        <v>403</v>
      </c>
      <c r="W411" s="1" t="s">
        <v>288</v>
      </c>
      <c r="X411" s="1"/>
      <c r="Y411" s="1"/>
      <c r="Z411" s="1" t="s">
        <v>128</v>
      </c>
      <c r="AA411" s="1" t="s">
        <v>1381</v>
      </c>
      <c r="AB411" s="1" t="str">
        <f>"33000167000454"</f>
        <v>33000167000454</v>
      </c>
      <c r="AC411" s="1"/>
      <c r="AD411" s="1" t="s">
        <v>149</v>
      </c>
      <c r="AE411" s="1"/>
      <c r="AF411" s="1">
        <v>-39.966389</v>
      </c>
      <c r="AG411" s="1">
        <v>-22.130001</v>
      </c>
      <c r="AH411" s="1" t="s">
        <v>1382</v>
      </c>
      <c r="AI411" s="1"/>
      <c r="AJ411" s="1" t="s">
        <v>172</v>
      </c>
      <c r="AK411" s="1"/>
      <c r="AL411" s="1"/>
      <c r="AM411" s="1" t="s">
        <v>65</v>
      </c>
      <c r="AN411" s="1" t="s">
        <v>720</v>
      </c>
      <c r="AO411" s="1"/>
      <c r="AP411" s="2">
        <v>44013.7179513889</v>
      </c>
      <c r="AQ411" s="1"/>
      <c r="AR411" s="1" t="s">
        <v>1360</v>
      </c>
      <c r="AS411" s="1" t="s">
        <v>1361</v>
      </c>
      <c r="AT411" s="2">
        <v>44269.931099537</v>
      </c>
    </row>
    <row r="412" ht="13.5" customHeight="1">
      <c r="A412" s="1"/>
      <c r="B412" s="1" t="s">
        <v>46</v>
      </c>
      <c r="C412" s="1" t="s">
        <v>47</v>
      </c>
      <c r="D412" s="1"/>
      <c r="E412" s="1" t="s">
        <v>2072</v>
      </c>
      <c r="F412" s="1"/>
      <c r="G412" s="1" t="s">
        <v>49</v>
      </c>
      <c r="H412" s="1" t="s">
        <v>93</v>
      </c>
      <c r="I412" s="1">
        <v>11000.0</v>
      </c>
      <c r="J412" s="1"/>
      <c r="K412" s="1"/>
      <c r="L412" s="1"/>
      <c r="M412" s="1" t="s">
        <v>2073</v>
      </c>
      <c r="N412" s="1" t="s">
        <v>95</v>
      </c>
      <c r="O412" s="1" t="s">
        <v>96</v>
      </c>
      <c r="P412" s="2">
        <v>43809.6849884259</v>
      </c>
      <c r="Q412" s="1" t="s">
        <v>373</v>
      </c>
      <c r="R412" s="1"/>
      <c r="S412" s="1"/>
      <c r="T412" s="1">
        <v>3302106.0</v>
      </c>
      <c r="U412" s="1" t="s">
        <v>2074</v>
      </c>
      <c r="V412" s="1" t="s">
        <v>287</v>
      </c>
      <c r="W412" s="1" t="s">
        <v>59</v>
      </c>
      <c r="X412" s="1"/>
      <c r="Y412" s="1"/>
      <c r="Z412" s="1" t="s">
        <v>98</v>
      </c>
      <c r="AA412" s="1" t="s">
        <v>2075</v>
      </c>
      <c r="AB412" s="1" t="str">
        <f>"***018557**"</f>
        <v>***018557**</v>
      </c>
      <c r="AC412" s="1"/>
      <c r="AD412" s="1" t="s">
        <v>149</v>
      </c>
      <c r="AE412" s="1"/>
      <c r="AF412" s="1">
        <v>-42.173336</v>
      </c>
      <c r="AG412" s="1">
        <v>-21.761944</v>
      </c>
      <c r="AH412" s="1" t="s">
        <v>2076</v>
      </c>
      <c r="AI412" s="1"/>
      <c r="AJ412" s="1" t="s">
        <v>291</v>
      </c>
      <c r="AK412" s="1"/>
      <c r="AL412" s="1"/>
      <c r="AM412" s="1" t="s">
        <v>65</v>
      </c>
      <c r="AN412" s="1" t="s">
        <v>1950</v>
      </c>
      <c r="AO412" s="1"/>
      <c r="AP412" s="2">
        <v>44047.5950231482</v>
      </c>
      <c r="AQ412" s="1"/>
      <c r="AR412" s="1" t="s">
        <v>2077</v>
      </c>
      <c r="AS412" s="1"/>
      <c r="AT412" s="2">
        <v>44269.931099537</v>
      </c>
    </row>
    <row r="413" ht="13.5" customHeight="1">
      <c r="A413" s="1"/>
      <c r="B413" s="1" t="s">
        <v>46</v>
      </c>
      <c r="C413" s="1" t="s">
        <v>47</v>
      </c>
      <c r="D413" s="1"/>
      <c r="E413" s="1" t="s">
        <v>2078</v>
      </c>
      <c r="F413" s="1"/>
      <c r="G413" s="1" t="s">
        <v>49</v>
      </c>
      <c r="H413" s="1" t="s">
        <v>93</v>
      </c>
      <c r="I413" s="1">
        <v>9932.25</v>
      </c>
      <c r="J413" s="1"/>
      <c r="K413" s="1"/>
      <c r="L413" s="1"/>
      <c r="M413" s="1" t="s">
        <v>2079</v>
      </c>
      <c r="N413" s="1" t="s">
        <v>142</v>
      </c>
      <c r="O413" s="1" t="s">
        <v>143</v>
      </c>
      <c r="P413" s="2">
        <v>43809.6803125</v>
      </c>
      <c r="Q413" s="1" t="s">
        <v>74</v>
      </c>
      <c r="R413" s="1"/>
      <c r="S413" s="1"/>
      <c r="T413" s="1">
        <v>1100403.0</v>
      </c>
      <c r="U413" s="1" t="s">
        <v>2038</v>
      </c>
      <c r="V413" s="1" t="s">
        <v>448</v>
      </c>
      <c r="W413" s="1" t="s">
        <v>177</v>
      </c>
      <c r="X413" s="1"/>
      <c r="Y413" s="1"/>
      <c r="Z413" s="1" t="s">
        <v>147</v>
      </c>
      <c r="AA413" s="1" t="s">
        <v>2080</v>
      </c>
      <c r="AB413" s="1" t="str">
        <f>"***418772**"</f>
        <v>***418772**</v>
      </c>
      <c r="AC413" s="1"/>
      <c r="AD413" s="1" t="s">
        <v>62</v>
      </c>
      <c r="AE413" s="1"/>
      <c r="AF413" s="1">
        <v>-63.333611</v>
      </c>
      <c r="AG413" s="1">
        <v>-9.752222</v>
      </c>
      <c r="AH413" s="1" t="s">
        <v>2049</v>
      </c>
      <c r="AI413" s="1"/>
      <c r="AJ413" s="1" t="s">
        <v>371</v>
      </c>
      <c r="AK413" s="1"/>
      <c r="AL413" s="1"/>
      <c r="AM413" s="1" t="s">
        <v>65</v>
      </c>
      <c r="AN413" s="1" t="s">
        <v>378</v>
      </c>
      <c r="AO413" s="1"/>
      <c r="AP413" s="2">
        <v>43809.6862268518</v>
      </c>
      <c r="AQ413" s="1"/>
      <c r="AR413" s="1" t="s">
        <v>613</v>
      </c>
      <c r="AS413" s="1"/>
      <c r="AT413" s="2">
        <v>44269.931099537</v>
      </c>
    </row>
    <row r="414" ht="13.5" customHeight="1">
      <c r="A414" s="1"/>
      <c r="B414" s="1" t="s">
        <v>46</v>
      </c>
      <c r="C414" s="1" t="s">
        <v>47</v>
      </c>
      <c r="D414" s="1"/>
      <c r="E414" s="1" t="s">
        <v>2081</v>
      </c>
      <c r="F414" s="1"/>
      <c r="G414" s="1" t="s">
        <v>49</v>
      </c>
      <c r="H414" s="1" t="s">
        <v>50</v>
      </c>
      <c r="I414" s="1">
        <v>100000.0</v>
      </c>
      <c r="J414" s="1"/>
      <c r="K414" s="1" t="s">
        <v>51</v>
      </c>
      <c r="L414" s="1"/>
      <c r="M414" s="1" t="s">
        <v>2082</v>
      </c>
      <c r="N414" s="1" t="s">
        <v>283</v>
      </c>
      <c r="O414" s="1" t="s">
        <v>1133</v>
      </c>
      <c r="P414" s="2">
        <v>43809.6693981481</v>
      </c>
      <c r="Q414" s="1" t="s">
        <v>74</v>
      </c>
      <c r="R414" s="1"/>
      <c r="S414" s="1"/>
      <c r="T414" s="1">
        <v>3302403.0</v>
      </c>
      <c r="U414" s="1" t="s">
        <v>1371</v>
      </c>
      <c r="V414" s="1" t="s">
        <v>287</v>
      </c>
      <c r="W414" s="1" t="s">
        <v>288</v>
      </c>
      <c r="X414" s="1"/>
      <c r="Y414" s="1"/>
      <c r="Z414" s="1" t="s">
        <v>128</v>
      </c>
      <c r="AA414" s="1" t="s">
        <v>907</v>
      </c>
      <c r="AB414" s="1" t="str">
        <f>"33000167000292"</f>
        <v>33000167000292</v>
      </c>
      <c r="AC414" s="1"/>
      <c r="AD414" s="1" t="s">
        <v>149</v>
      </c>
      <c r="AE414" s="1"/>
      <c r="AF414" s="1">
        <v>-40.259998</v>
      </c>
      <c r="AG414" s="1">
        <v>-22.550833</v>
      </c>
      <c r="AH414" s="1" t="s">
        <v>1372</v>
      </c>
      <c r="AI414" s="1"/>
      <c r="AJ414" s="1" t="s">
        <v>172</v>
      </c>
      <c r="AK414" s="1"/>
      <c r="AL414" s="1"/>
      <c r="AM414" s="1" t="s">
        <v>65</v>
      </c>
      <c r="AN414" s="1" t="s">
        <v>720</v>
      </c>
      <c r="AO414" s="1"/>
      <c r="AP414" s="2">
        <v>44013.718125</v>
      </c>
      <c r="AQ414" s="1"/>
      <c r="AR414" s="1" t="s">
        <v>1360</v>
      </c>
      <c r="AS414" s="1" t="s">
        <v>1361</v>
      </c>
      <c r="AT414" s="2">
        <v>44269.931099537</v>
      </c>
    </row>
    <row r="415" ht="13.5" customHeight="1">
      <c r="A415" s="1"/>
      <c r="B415" s="1" t="s">
        <v>46</v>
      </c>
      <c r="C415" s="1" t="s">
        <v>47</v>
      </c>
      <c r="D415" s="1"/>
      <c r="E415" s="1" t="s">
        <v>2083</v>
      </c>
      <c r="F415" s="1"/>
      <c r="G415" s="1" t="s">
        <v>49</v>
      </c>
      <c r="H415" s="1" t="s">
        <v>93</v>
      </c>
      <c r="I415" s="1">
        <v>8733.0</v>
      </c>
      <c r="J415" s="1"/>
      <c r="K415" s="1"/>
      <c r="L415" s="1"/>
      <c r="M415" s="1" t="s">
        <v>2084</v>
      </c>
      <c r="N415" s="1" t="s">
        <v>142</v>
      </c>
      <c r="O415" s="1" t="s">
        <v>143</v>
      </c>
      <c r="P415" s="2">
        <v>43809.668275463</v>
      </c>
      <c r="Q415" s="1" t="s">
        <v>74</v>
      </c>
      <c r="R415" s="1"/>
      <c r="S415" s="1"/>
      <c r="T415" s="1">
        <v>1100403.0</v>
      </c>
      <c r="U415" s="1" t="s">
        <v>2038</v>
      </c>
      <c r="V415" s="1" t="s">
        <v>448</v>
      </c>
      <c r="W415" s="1" t="s">
        <v>177</v>
      </c>
      <c r="X415" s="1"/>
      <c r="Y415" s="1"/>
      <c r="Z415" s="1" t="s">
        <v>147</v>
      </c>
      <c r="AA415" s="1" t="s">
        <v>2080</v>
      </c>
      <c r="AB415" s="1" t="str">
        <f>"***418772**"</f>
        <v>***418772**</v>
      </c>
      <c r="AC415" s="1"/>
      <c r="AD415" s="1" t="s">
        <v>62</v>
      </c>
      <c r="AE415" s="1"/>
      <c r="AF415" s="1">
        <v>-63.333611</v>
      </c>
      <c r="AG415" s="1">
        <v>-9.752222</v>
      </c>
      <c r="AH415" s="1" t="s">
        <v>2049</v>
      </c>
      <c r="AI415" s="1"/>
      <c r="AJ415" s="1" t="s">
        <v>371</v>
      </c>
      <c r="AK415" s="1"/>
      <c r="AL415" s="1"/>
      <c r="AM415" s="1" t="s">
        <v>65</v>
      </c>
      <c r="AN415" s="1" t="s">
        <v>378</v>
      </c>
      <c r="AO415" s="1"/>
      <c r="AP415" s="2">
        <v>43809.674375</v>
      </c>
      <c r="AQ415" s="1"/>
      <c r="AR415" s="1" t="s">
        <v>613</v>
      </c>
      <c r="AS415" s="1"/>
      <c r="AT415" s="2">
        <v>44269.931099537</v>
      </c>
    </row>
    <row r="416" ht="13.5" customHeight="1">
      <c r="A416" s="1">
        <v>2034672.0</v>
      </c>
      <c r="B416" s="1" t="s">
        <v>67</v>
      </c>
      <c r="C416" s="1" t="s">
        <v>68</v>
      </c>
      <c r="D416" s="1" t="s">
        <v>46</v>
      </c>
      <c r="E416" s="1" t="s">
        <v>2085</v>
      </c>
      <c r="F416" s="1"/>
      <c r="G416" s="1" t="s">
        <v>70</v>
      </c>
      <c r="H416" s="1" t="s">
        <v>93</v>
      </c>
      <c r="I416" s="1">
        <v>89000.0</v>
      </c>
      <c r="J416" s="1"/>
      <c r="K416" s="1"/>
      <c r="L416" s="1" t="s">
        <v>264</v>
      </c>
      <c r="M416" s="1" t="s">
        <v>2086</v>
      </c>
      <c r="N416" s="1" t="s">
        <v>95</v>
      </c>
      <c r="O416" s="1" t="s">
        <v>96</v>
      </c>
      <c r="P416" s="2">
        <v>43809.6666666667</v>
      </c>
      <c r="Q416" s="1" t="s">
        <v>74</v>
      </c>
      <c r="R416" s="3">
        <v>43811.0</v>
      </c>
      <c r="S416" s="1"/>
      <c r="T416" s="1">
        <v>4208203.0</v>
      </c>
      <c r="U416" s="1" t="s">
        <v>735</v>
      </c>
      <c r="V416" s="1" t="s">
        <v>267</v>
      </c>
      <c r="W416" s="1" t="s">
        <v>59</v>
      </c>
      <c r="X416" s="1"/>
      <c r="Y416" s="1" t="str">
        <f>"02026004129201942"</f>
        <v>02026004129201942</v>
      </c>
      <c r="Z416" s="1" t="s">
        <v>98</v>
      </c>
      <c r="AA416" s="1" t="s">
        <v>2087</v>
      </c>
      <c r="AB416" s="1" t="str">
        <f>"***414449**"</f>
        <v>***414449**</v>
      </c>
      <c r="AC416" s="1"/>
      <c r="AD416" s="1"/>
      <c r="AE416" s="1"/>
      <c r="AF416" s="1">
        <v>-48.678612</v>
      </c>
      <c r="AG416" s="1">
        <v>-26.899445</v>
      </c>
      <c r="AH416" s="1" t="s">
        <v>2088</v>
      </c>
      <c r="AI416" s="1"/>
      <c r="AJ416" s="1" t="s">
        <v>264</v>
      </c>
      <c r="AK416" s="1"/>
      <c r="AL416" s="1" t="s">
        <v>79</v>
      </c>
      <c r="AM416" s="1" t="s">
        <v>65</v>
      </c>
      <c r="AN416" s="1" t="s">
        <v>152</v>
      </c>
      <c r="AO416" s="2">
        <v>43889.0</v>
      </c>
      <c r="AP416" s="2">
        <v>43889.5255092593</v>
      </c>
      <c r="AQ416" s="1" t="s">
        <v>80</v>
      </c>
      <c r="AR416" s="1" t="s">
        <v>2089</v>
      </c>
      <c r="AS416" s="1"/>
      <c r="AT416" s="2">
        <v>44269.931099537</v>
      </c>
    </row>
    <row r="417" ht="13.5" customHeight="1">
      <c r="A417" s="1"/>
      <c r="B417" s="1" t="s">
        <v>46</v>
      </c>
      <c r="C417" s="1" t="s">
        <v>47</v>
      </c>
      <c r="D417" s="1"/>
      <c r="E417" s="1" t="s">
        <v>2090</v>
      </c>
      <c r="F417" s="1"/>
      <c r="G417" s="1" t="s">
        <v>49</v>
      </c>
      <c r="H417" s="1" t="s">
        <v>93</v>
      </c>
      <c r="I417" s="1">
        <v>1000.0</v>
      </c>
      <c r="J417" s="1"/>
      <c r="K417" s="1"/>
      <c r="L417" s="1"/>
      <c r="M417" s="1" t="s">
        <v>2091</v>
      </c>
      <c r="N417" s="1" t="s">
        <v>95</v>
      </c>
      <c r="O417" s="1" t="s">
        <v>96</v>
      </c>
      <c r="P417" s="2">
        <v>43809.661412037</v>
      </c>
      <c r="Q417" s="1" t="s">
        <v>373</v>
      </c>
      <c r="R417" s="1"/>
      <c r="S417" s="1"/>
      <c r="T417" s="1">
        <v>2305654.0</v>
      </c>
      <c r="U417" s="1" t="s">
        <v>2092</v>
      </c>
      <c r="V417" s="1" t="s">
        <v>112</v>
      </c>
      <c r="W417" s="1" t="s">
        <v>113</v>
      </c>
      <c r="X417" s="1"/>
      <c r="Y417" s="1"/>
      <c r="Z417" s="1" t="s">
        <v>98</v>
      </c>
      <c r="AA417" s="1" t="s">
        <v>2093</v>
      </c>
      <c r="AB417" s="1" t="str">
        <f>"***050977**"</f>
        <v>***050977**</v>
      </c>
      <c r="AC417" s="1"/>
      <c r="AD417" s="1" t="s">
        <v>149</v>
      </c>
      <c r="AE417" s="1"/>
      <c r="AF417" s="1">
        <v>-40.649719</v>
      </c>
      <c r="AG417" s="1">
        <v>5.016944</v>
      </c>
      <c r="AH417" s="1" t="s">
        <v>2094</v>
      </c>
      <c r="AI417" s="1"/>
      <c r="AJ417" s="1" t="s">
        <v>898</v>
      </c>
      <c r="AK417" s="1"/>
      <c r="AL417" s="1"/>
      <c r="AM417" s="1" t="s">
        <v>65</v>
      </c>
      <c r="AN417" s="1" t="s">
        <v>1781</v>
      </c>
      <c r="AO417" s="1"/>
      <c r="AP417" s="2">
        <v>43998.6411574074</v>
      </c>
      <c r="AQ417" s="1"/>
      <c r="AR417" s="1" t="s">
        <v>2021</v>
      </c>
      <c r="AS417" s="1"/>
      <c r="AT417" s="2">
        <v>44269.931099537</v>
      </c>
    </row>
    <row r="418" ht="13.5" customHeight="1">
      <c r="A418" s="1"/>
      <c r="B418" s="1" t="s">
        <v>46</v>
      </c>
      <c r="C418" s="1" t="s">
        <v>47</v>
      </c>
      <c r="D418" s="1"/>
      <c r="E418" s="1" t="s">
        <v>2095</v>
      </c>
      <c r="F418" s="1"/>
      <c r="G418" s="1" t="s">
        <v>49</v>
      </c>
      <c r="H418" s="1" t="s">
        <v>50</v>
      </c>
      <c r="I418" s="1">
        <v>500500.0</v>
      </c>
      <c r="J418" s="1"/>
      <c r="K418" s="1" t="s">
        <v>51</v>
      </c>
      <c r="L418" s="1"/>
      <c r="M418" s="1" t="s">
        <v>2096</v>
      </c>
      <c r="N418" s="1" t="s">
        <v>212</v>
      </c>
      <c r="O418" s="1" t="s">
        <v>213</v>
      </c>
      <c r="P418" s="2">
        <v>43809.6603009259</v>
      </c>
      <c r="Q418" s="1" t="s">
        <v>74</v>
      </c>
      <c r="R418" s="1"/>
      <c r="S418" s="1"/>
      <c r="T418" s="1">
        <v>5300108.0</v>
      </c>
      <c r="U418" s="1" t="s">
        <v>1541</v>
      </c>
      <c r="V418" s="1" t="s">
        <v>1542</v>
      </c>
      <c r="W418" s="1" t="s">
        <v>59</v>
      </c>
      <c r="X418" s="1"/>
      <c r="Y418" s="1"/>
      <c r="Z418" s="1" t="s">
        <v>215</v>
      </c>
      <c r="AA418" s="1" t="s">
        <v>2097</v>
      </c>
      <c r="AB418" s="1" t="str">
        <f>"19699063000106"</f>
        <v>19699063000106</v>
      </c>
      <c r="AC418" s="1"/>
      <c r="AD418" s="1" t="s">
        <v>149</v>
      </c>
      <c r="AE418" s="1"/>
      <c r="AF418" s="1">
        <v>-47.861942</v>
      </c>
      <c r="AG418" s="1">
        <v>-15.767222</v>
      </c>
      <c r="AH418" s="1" t="s">
        <v>1544</v>
      </c>
      <c r="AI418" s="1"/>
      <c r="AJ418" s="1" t="s">
        <v>172</v>
      </c>
      <c r="AK418" s="1"/>
      <c r="AL418" s="1"/>
      <c r="AM418" s="1" t="s">
        <v>65</v>
      </c>
      <c r="AN418" s="1" t="s">
        <v>720</v>
      </c>
      <c r="AO418" s="1"/>
      <c r="AP418" s="2">
        <v>43809.6682291667</v>
      </c>
      <c r="AQ418" s="1"/>
      <c r="AR418" s="1" t="s">
        <v>721</v>
      </c>
      <c r="AS418" s="1" t="s">
        <v>1545</v>
      </c>
      <c r="AT418" s="2">
        <v>44269.931099537</v>
      </c>
    </row>
    <row r="419" ht="13.5" customHeight="1">
      <c r="A419" s="1"/>
      <c r="B419" s="1" t="s">
        <v>46</v>
      </c>
      <c r="C419" s="1" t="s">
        <v>47</v>
      </c>
      <c r="D419" s="1"/>
      <c r="E419" s="1" t="s">
        <v>2098</v>
      </c>
      <c r="F419" s="1"/>
      <c r="G419" s="1" t="s">
        <v>49</v>
      </c>
      <c r="H419" s="1" t="s">
        <v>93</v>
      </c>
      <c r="I419" s="1">
        <v>8283.0</v>
      </c>
      <c r="J419" s="1"/>
      <c r="K419" s="1"/>
      <c r="L419" s="1"/>
      <c r="M419" s="1" t="s">
        <v>2099</v>
      </c>
      <c r="N419" s="1" t="s">
        <v>142</v>
      </c>
      <c r="O419" s="1" t="s">
        <v>143</v>
      </c>
      <c r="P419" s="2">
        <v>43809.6583333333</v>
      </c>
      <c r="Q419" s="1" t="s">
        <v>74</v>
      </c>
      <c r="R419" s="3">
        <v>43809.0</v>
      </c>
      <c r="S419" s="1"/>
      <c r="T419" s="1">
        <v>1100403.0</v>
      </c>
      <c r="U419" s="1" t="s">
        <v>2038</v>
      </c>
      <c r="V419" s="1" t="s">
        <v>448</v>
      </c>
      <c r="W419" s="1" t="s">
        <v>177</v>
      </c>
      <c r="X419" s="1"/>
      <c r="Y419" s="1"/>
      <c r="Z419" s="1" t="s">
        <v>147</v>
      </c>
      <c r="AA419" s="1" t="s">
        <v>2080</v>
      </c>
      <c r="AB419" s="1" t="str">
        <f>"***418772**"</f>
        <v>***418772**</v>
      </c>
      <c r="AC419" s="1"/>
      <c r="AD419" s="1" t="s">
        <v>62</v>
      </c>
      <c r="AE419" s="1"/>
      <c r="AF419" s="1">
        <v>-63.333611</v>
      </c>
      <c r="AG419" s="1">
        <v>-9.752222</v>
      </c>
      <c r="AH419" s="1" t="s">
        <v>2049</v>
      </c>
      <c r="AI419" s="1"/>
      <c r="AJ419" s="1" t="s">
        <v>371</v>
      </c>
      <c r="AK419" s="1"/>
      <c r="AL419" s="1"/>
      <c r="AM419" s="1" t="s">
        <v>65</v>
      </c>
      <c r="AN419" s="1" t="s">
        <v>378</v>
      </c>
      <c r="AO419" s="1"/>
      <c r="AP419" s="2">
        <v>43809.664849537</v>
      </c>
      <c r="AQ419" s="1"/>
      <c r="AR419" s="1" t="s">
        <v>613</v>
      </c>
      <c r="AS419" s="1"/>
      <c r="AT419" s="2">
        <v>44269.931099537</v>
      </c>
    </row>
    <row r="420" ht="13.5" customHeight="1">
      <c r="A420" s="1"/>
      <c r="B420" s="1" t="s">
        <v>46</v>
      </c>
      <c r="C420" s="1" t="s">
        <v>47</v>
      </c>
      <c r="D420" s="1"/>
      <c r="E420" s="1" t="s">
        <v>2100</v>
      </c>
      <c r="F420" s="1"/>
      <c r="G420" s="1" t="s">
        <v>49</v>
      </c>
      <c r="H420" s="1" t="s">
        <v>93</v>
      </c>
      <c r="I420" s="1">
        <v>555000.0</v>
      </c>
      <c r="J420" s="1"/>
      <c r="K420" s="1"/>
      <c r="L420" s="1"/>
      <c r="M420" s="1" t="s">
        <v>2101</v>
      </c>
      <c r="N420" s="1" t="s">
        <v>142</v>
      </c>
      <c r="O420" s="1" t="s">
        <v>143</v>
      </c>
      <c r="P420" s="2">
        <v>43809.6548032407</v>
      </c>
      <c r="Q420" s="1" t="s">
        <v>74</v>
      </c>
      <c r="R420" s="1"/>
      <c r="S420" s="1"/>
      <c r="T420" s="1">
        <v>1504752.0</v>
      </c>
      <c r="U420" s="1" t="s">
        <v>2043</v>
      </c>
      <c r="V420" s="1" t="s">
        <v>193</v>
      </c>
      <c r="W420" s="1" t="s">
        <v>177</v>
      </c>
      <c r="X420" s="1"/>
      <c r="Y420" s="1"/>
      <c r="Z420" s="1" t="s">
        <v>147</v>
      </c>
      <c r="AA420" s="1" t="s">
        <v>2102</v>
      </c>
      <c r="AB420" s="1" t="str">
        <f>"***550861**"</f>
        <v>***550861**</v>
      </c>
      <c r="AC420" s="1"/>
      <c r="AD420" s="1" t="s">
        <v>2103</v>
      </c>
      <c r="AE420" s="1"/>
      <c r="AF420" s="1">
        <v>-54.733887</v>
      </c>
      <c r="AG420" s="1">
        <v>-3.153611</v>
      </c>
      <c r="AH420" s="1" t="s">
        <v>2104</v>
      </c>
      <c r="AI420" s="1"/>
      <c r="AJ420" s="1" t="s">
        <v>172</v>
      </c>
      <c r="AK420" s="1"/>
      <c r="AL420" s="1"/>
      <c r="AM420" s="1" t="s">
        <v>65</v>
      </c>
      <c r="AN420" s="1" t="s">
        <v>1395</v>
      </c>
      <c r="AO420" s="1"/>
      <c r="AP420" s="2">
        <v>44022.5994675926</v>
      </c>
      <c r="AQ420" s="1"/>
      <c r="AR420" s="1" t="s">
        <v>2105</v>
      </c>
      <c r="AS420" s="1" t="s">
        <v>2106</v>
      </c>
      <c r="AT420" s="2">
        <v>44269.931099537</v>
      </c>
    </row>
    <row r="421" ht="13.5" customHeight="1">
      <c r="A421" s="1"/>
      <c r="B421" s="1" t="s">
        <v>46</v>
      </c>
      <c r="C421" s="1" t="s">
        <v>47</v>
      </c>
      <c r="D421" s="1"/>
      <c r="E421" s="1" t="s">
        <v>2107</v>
      </c>
      <c r="F421" s="1"/>
      <c r="G421" s="1" t="s">
        <v>49</v>
      </c>
      <c r="H421" s="1" t="s">
        <v>93</v>
      </c>
      <c r="I421" s="1">
        <v>52500.0</v>
      </c>
      <c r="J421" s="1"/>
      <c r="K421" s="1" t="s">
        <v>140</v>
      </c>
      <c r="L421" s="1"/>
      <c r="M421" s="1" t="s">
        <v>2108</v>
      </c>
      <c r="N421" s="1" t="s">
        <v>283</v>
      </c>
      <c r="O421" s="1" t="s">
        <v>1133</v>
      </c>
      <c r="P421" s="2">
        <v>43809.6449884259</v>
      </c>
      <c r="Q421" s="1" t="s">
        <v>74</v>
      </c>
      <c r="R421" s="3">
        <v>43809.0</v>
      </c>
      <c r="S421" s="1"/>
      <c r="T421" s="1">
        <v>1100403.0</v>
      </c>
      <c r="U421" s="1" t="s">
        <v>2038</v>
      </c>
      <c r="V421" s="1" t="s">
        <v>448</v>
      </c>
      <c r="W421" s="1" t="s">
        <v>177</v>
      </c>
      <c r="X421" s="1"/>
      <c r="Y421" s="1"/>
      <c r="Z421" s="1" t="s">
        <v>128</v>
      </c>
      <c r="AA421" s="1" t="s">
        <v>2080</v>
      </c>
      <c r="AB421" s="1" t="str">
        <f>"***418772**"</f>
        <v>***418772**</v>
      </c>
      <c r="AC421" s="1"/>
      <c r="AD421" s="1" t="s">
        <v>62</v>
      </c>
      <c r="AE421" s="1"/>
      <c r="AF421" s="1">
        <v>-63.333611</v>
      </c>
      <c r="AG421" s="1">
        <v>-9.752222</v>
      </c>
      <c r="AH421" s="1" t="s">
        <v>2049</v>
      </c>
      <c r="AI421" s="1"/>
      <c r="AJ421" s="1" t="s">
        <v>371</v>
      </c>
      <c r="AK421" s="1"/>
      <c r="AL421" s="1"/>
      <c r="AM421" s="1" t="s">
        <v>65</v>
      </c>
      <c r="AN421" s="1" t="s">
        <v>378</v>
      </c>
      <c r="AO421" s="1"/>
      <c r="AP421" s="2">
        <v>43809.6534606482</v>
      </c>
      <c r="AQ421" s="1"/>
      <c r="AR421" s="1" t="s">
        <v>153</v>
      </c>
      <c r="AS421" s="1"/>
      <c r="AT421" s="2">
        <v>44269.931099537</v>
      </c>
    </row>
    <row r="422" ht="13.5" customHeight="1">
      <c r="A422" s="1">
        <v>2034713.0</v>
      </c>
      <c r="B422" s="1" t="s">
        <v>67</v>
      </c>
      <c r="C422" s="1" t="s">
        <v>68</v>
      </c>
      <c r="D422" s="1" t="s">
        <v>46</v>
      </c>
      <c r="E422" s="1" t="s">
        <v>2109</v>
      </c>
      <c r="F422" s="1"/>
      <c r="G422" s="1" t="s">
        <v>70</v>
      </c>
      <c r="H422" s="1" t="s">
        <v>93</v>
      </c>
      <c r="I422" s="1">
        <v>500.0</v>
      </c>
      <c r="J422" s="1"/>
      <c r="K422" s="1"/>
      <c r="L422" s="1" t="s">
        <v>64</v>
      </c>
      <c r="M422" s="1" t="s">
        <v>2110</v>
      </c>
      <c r="N422" s="1" t="s">
        <v>95</v>
      </c>
      <c r="O422" s="1" t="s">
        <v>96</v>
      </c>
      <c r="P422" s="2">
        <v>43809.625</v>
      </c>
      <c r="Q422" s="1" t="s">
        <v>74</v>
      </c>
      <c r="R422" s="3">
        <v>43808.0</v>
      </c>
      <c r="S422" s="1"/>
      <c r="T422" s="1">
        <v>3549805.0</v>
      </c>
      <c r="U422" s="1" t="s">
        <v>1927</v>
      </c>
      <c r="V422" s="1" t="s">
        <v>58</v>
      </c>
      <c r="W422" s="1" t="s">
        <v>59</v>
      </c>
      <c r="X422" s="1"/>
      <c r="Y422" s="1" t="str">
        <f>"02027021796201980"</f>
        <v>02027021796201980</v>
      </c>
      <c r="Z422" s="1" t="s">
        <v>98</v>
      </c>
      <c r="AA422" s="1" t="s">
        <v>2111</v>
      </c>
      <c r="AB422" s="1" t="str">
        <f>"***668848**"</f>
        <v>***668848**</v>
      </c>
      <c r="AC422" s="1"/>
      <c r="AD422" s="1"/>
      <c r="AE422" s="1"/>
      <c r="AF422" s="1">
        <v>-49.355278</v>
      </c>
      <c r="AG422" s="1">
        <v>-20.791666</v>
      </c>
      <c r="AH422" s="1" t="s">
        <v>1929</v>
      </c>
      <c r="AI422" s="1"/>
      <c r="AJ422" s="1" t="s">
        <v>64</v>
      </c>
      <c r="AK422" s="1"/>
      <c r="AL422" s="1" t="s">
        <v>79</v>
      </c>
      <c r="AM422" s="1" t="s">
        <v>65</v>
      </c>
      <c r="AN422" s="1"/>
      <c r="AO422" s="2">
        <v>43889.0</v>
      </c>
      <c r="AP422" s="2">
        <v>43889.5924884259</v>
      </c>
      <c r="AQ422" s="1" t="s">
        <v>80</v>
      </c>
      <c r="AR422" s="1" t="s">
        <v>953</v>
      </c>
      <c r="AS422" s="1" t="s">
        <v>1930</v>
      </c>
      <c r="AT422" s="2">
        <v>44269.931099537</v>
      </c>
    </row>
    <row r="423" ht="13.5" customHeight="1">
      <c r="A423" s="1">
        <v>2034768.0</v>
      </c>
      <c r="B423" s="1" t="s">
        <v>67</v>
      </c>
      <c r="C423" s="1" t="s">
        <v>68</v>
      </c>
      <c r="D423" s="1" t="s">
        <v>46</v>
      </c>
      <c r="E423" s="1" t="s">
        <v>2112</v>
      </c>
      <c r="F423" s="1"/>
      <c r="G423" s="1" t="s">
        <v>70</v>
      </c>
      <c r="H423" s="1" t="s">
        <v>50</v>
      </c>
      <c r="I423" s="1">
        <v>102500.0</v>
      </c>
      <c r="J423" s="1"/>
      <c r="K423" s="1"/>
      <c r="L423" s="1" t="s">
        <v>151</v>
      </c>
      <c r="M423" s="1" t="s">
        <v>2113</v>
      </c>
      <c r="N423" s="1" t="s">
        <v>283</v>
      </c>
      <c r="O423" s="1" t="s">
        <v>1364</v>
      </c>
      <c r="P423" s="2">
        <v>43809.625</v>
      </c>
      <c r="Q423" s="1" t="s">
        <v>373</v>
      </c>
      <c r="R423" s="3">
        <v>43809.0</v>
      </c>
      <c r="S423" s="1"/>
      <c r="T423" s="1">
        <v>4315305.0</v>
      </c>
      <c r="U423" s="1" t="s">
        <v>2024</v>
      </c>
      <c r="V423" s="1" t="s">
        <v>145</v>
      </c>
      <c r="W423" s="1" t="s">
        <v>146</v>
      </c>
      <c r="X423" s="1"/>
      <c r="Y423" s="1" t="str">
        <f>"02023000342202049"</f>
        <v>02023000342202049</v>
      </c>
      <c r="Z423" s="1" t="s">
        <v>128</v>
      </c>
      <c r="AA423" s="1" t="s">
        <v>2025</v>
      </c>
      <c r="AB423" s="1" t="str">
        <f>"***431110**"</f>
        <v>***431110**</v>
      </c>
      <c r="AC423" s="1"/>
      <c r="AD423" s="1"/>
      <c r="AE423" s="1"/>
      <c r="AF423" s="1">
        <v>-56.379444</v>
      </c>
      <c r="AG423" s="1">
        <v>-30.299444</v>
      </c>
      <c r="AH423" s="1" t="s">
        <v>2114</v>
      </c>
      <c r="AI423" s="1"/>
      <c r="AJ423" s="1" t="s">
        <v>151</v>
      </c>
      <c r="AK423" s="1"/>
      <c r="AL423" s="1" t="s">
        <v>79</v>
      </c>
      <c r="AM423" s="1" t="s">
        <v>65</v>
      </c>
      <c r="AN423" s="1" t="s">
        <v>1551</v>
      </c>
      <c r="AO423" s="2">
        <v>43889.0</v>
      </c>
      <c r="AP423" s="2">
        <v>43889.6632407407</v>
      </c>
      <c r="AQ423" s="1" t="s">
        <v>80</v>
      </c>
      <c r="AR423" s="1" t="s">
        <v>1576</v>
      </c>
      <c r="AS423" s="1" t="s">
        <v>2115</v>
      </c>
      <c r="AT423" s="2">
        <v>44269.931099537</v>
      </c>
    </row>
    <row r="424" ht="13.5" customHeight="1">
      <c r="A424" s="1">
        <v>2035285.0</v>
      </c>
      <c r="B424" s="1" t="s">
        <v>67</v>
      </c>
      <c r="C424" s="1" t="s">
        <v>68</v>
      </c>
      <c r="D424" s="1" t="s">
        <v>46</v>
      </c>
      <c r="E424" s="1" t="s">
        <v>2116</v>
      </c>
      <c r="F424" s="1"/>
      <c r="G424" s="1" t="s">
        <v>70</v>
      </c>
      <c r="H424" s="1" t="s">
        <v>50</v>
      </c>
      <c r="I424" s="1">
        <v>7259.2</v>
      </c>
      <c r="J424" s="1"/>
      <c r="K424" s="1"/>
      <c r="L424" s="1" t="s">
        <v>151</v>
      </c>
      <c r="M424" s="1" t="s">
        <v>2117</v>
      </c>
      <c r="N424" s="1" t="s">
        <v>283</v>
      </c>
      <c r="O424" s="1" t="s">
        <v>978</v>
      </c>
      <c r="P424" s="2">
        <v>43809.625</v>
      </c>
      <c r="Q424" s="1" t="s">
        <v>373</v>
      </c>
      <c r="R424" s="3">
        <v>43809.0</v>
      </c>
      <c r="S424" s="1"/>
      <c r="T424" s="1">
        <v>4301503.0</v>
      </c>
      <c r="U424" s="1" t="s">
        <v>2118</v>
      </c>
      <c r="V424" s="1" t="s">
        <v>145</v>
      </c>
      <c r="W424" s="1" t="s">
        <v>59</v>
      </c>
      <c r="X424" s="1"/>
      <c r="Y424" s="1" t="str">
        <f>"02023000242202012"</f>
        <v>02023000242202012</v>
      </c>
      <c r="Z424" s="1" t="s">
        <v>980</v>
      </c>
      <c r="AA424" s="1" t="s">
        <v>2119</v>
      </c>
      <c r="AB424" s="1" t="str">
        <f>"***619760**"</f>
        <v>***619760**</v>
      </c>
      <c r="AC424" s="1"/>
      <c r="AD424" s="1" t="s">
        <v>116</v>
      </c>
      <c r="AE424" s="1"/>
      <c r="AF424" s="1">
        <v>-54.024722</v>
      </c>
      <c r="AG424" s="1">
        <v>-28.539444</v>
      </c>
      <c r="AH424" s="1" t="s">
        <v>2120</v>
      </c>
      <c r="AI424" s="1"/>
      <c r="AJ424" s="1" t="s">
        <v>151</v>
      </c>
      <c r="AK424" s="1" t="s">
        <v>1551</v>
      </c>
      <c r="AL424" s="1" t="s">
        <v>79</v>
      </c>
      <c r="AM424" s="1" t="s">
        <v>65</v>
      </c>
      <c r="AN424" s="1" t="s">
        <v>1551</v>
      </c>
      <c r="AO424" s="2">
        <v>43900.0</v>
      </c>
      <c r="AP424" s="2">
        <v>44074.4226041667</v>
      </c>
      <c r="AQ424" s="1" t="s">
        <v>80</v>
      </c>
      <c r="AR424" s="1" t="s">
        <v>1576</v>
      </c>
      <c r="AS424" s="1" t="s">
        <v>2121</v>
      </c>
      <c r="AT424" s="2">
        <v>44269.931099537</v>
      </c>
    </row>
    <row r="425" ht="13.5" customHeight="1">
      <c r="A425" s="1">
        <v>2039130.0</v>
      </c>
      <c r="B425" s="1" t="s">
        <v>67</v>
      </c>
      <c r="C425" s="1" t="s">
        <v>68</v>
      </c>
      <c r="D425" s="1" t="s">
        <v>46</v>
      </c>
      <c r="E425" s="1" t="s">
        <v>2122</v>
      </c>
      <c r="F425" s="1"/>
      <c r="G425" s="1" t="s">
        <v>70</v>
      </c>
      <c r="H425" s="1" t="s">
        <v>93</v>
      </c>
      <c r="I425" s="1">
        <v>50500.0</v>
      </c>
      <c r="J425" s="1"/>
      <c r="K425" s="1"/>
      <c r="L425" s="1" t="s">
        <v>64</v>
      </c>
      <c r="M425" s="1" t="s">
        <v>2123</v>
      </c>
      <c r="N425" s="1" t="s">
        <v>72</v>
      </c>
      <c r="O425" s="1" t="s">
        <v>213</v>
      </c>
      <c r="P425" s="2">
        <v>43809.625</v>
      </c>
      <c r="Q425" s="1" t="s">
        <v>55</v>
      </c>
      <c r="R425" s="1"/>
      <c r="S425" s="1"/>
      <c r="T425" s="1">
        <v>3518800.0</v>
      </c>
      <c r="U425" s="1" t="s">
        <v>57</v>
      </c>
      <c r="V425" s="1" t="s">
        <v>58</v>
      </c>
      <c r="W425" s="1" t="s">
        <v>59</v>
      </c>
      <c r="X425" s="1"/>
      <c r="Y425" s="1" t="str">
        <f>"02027005753202091"</f>
        <v>02027005753202091</v>
      </c>
      <c r="Z425" s="1" t="s">
        <v>215</v>
      </c>
      <c r="AA425" s="1" t="s">
        <v>2124</v>
      </c>
      <c r="AB425" s="1" t="str">
        <f>"60664828000176"</f>
        <v>60664828000176</v>
      </c>
      <c r="AC425" s="1"/>
      <c r="AD425" s="1"/>
      <c r="AE425" s="1"/>
      <c r="AF425" s="1">
        <v>-46.396946</v>
      </c>
      <c r="AG425" s="1">
        <v>-23.423056</v>
      </c>
      <c r="AH425" s="1" t="s">
        <v>2125</v>
      </c>
      <c r="AI425" s="1"/>
      <c r="AJ425" s="1" t="s">
        <v>64</v>
      </c>
      <c r="AK425" s="1"/>
      <c r="AL425" s="1" t="s">
        <v>79</v>
      </c>
      <c r="AM425" s="1" t="s">
        <v>65</v>
      </c>
      <c r="AN425" s="1"/>
      <c r="AO425" s="2">
        <v>44055.0</v>
      </c>
      <c r="AP425" s="2">
        <v>44055.3371064815</v>
      </c>
      <c r="AQ425" s="1" t="s">
        <v>80</v>
      </c>
      <c r="AR425" s="1" t="s">
        <v>2126</v>
      </c>
      <c r="AS425" s="1" t="s">
        <v>2127</v>
      </c>
      <c r="AT425" s="2">
        <v>44269.931099537</v>
      </c>
    </row>
    <row r="426" ht="13.5" customHeight="1">
      <c r="A426" s="1"/>
      <c r="B426" s="1" t="s">
        <v>46</v>
      </c>
      <c r="C426" s="1" t="s">
        <v>47</v>
      </c>
      <c r="D426" s="1"/>
      <c r="E426" s="1" t="s">
        <v>2128</v>
      </c>
      <c r="F426" s="1"/>
      <c r="G426" s="1" t="s">
        <v>49</v>
      </c>
      <c r="H426" s="1" t="s">
        <v>50</v>
      </c>
      <c r="I426" s="1">
        <v>100000.0</v>
      </c>
      <c r="J426" s="1"/>
      <c r="K426" s="1" t="s">
        <v>51</v>
      </c>
      <c r="L426" s="1"/>
      <c r="M426" s="1" t="s">
        <v>2129</v>
      </c>
      <c r="N426" s="1" t="s">
        <v>283</v>
      </c>
      <c r="O426" s="1" t="s">
        <v>1133</v>
      </c>
      <c r="P426" s="2">
        <v>43809.614375</v>
      </c>
      <c r="Q426" s="1" t="s">
        <v>74</v>
      </c>
      <c r="R426" s="1"/>
      <c r="S426" s="1"/>
      <c r="T426" s="1">
        <v>3302403.0</v>
      </c>
      <c r="U426" s="1" t="s">
        <v>1371</v>
      </c>
      <c r="V426" s="1" t="s">
        <v>287</v>
      </c>
      <c r="W426" s="1" t="s">
        <v>288</v>
      </c>
      <c r="X426" s="1"/>
      <c r="Y426" s="1"/>
      <c r="Z426" s="1" t="s">
        <v>128</v>
      </c>
      <c r="AA426" s="1" t="s">
        <v>1449</v>
      </c>
      <c r="AB426" s="1" t="str">
        <f>"33000167100750"</f>
        <v>33000167100750</v>
      </c>
      <c r="AC426" s="1"/>
      <c r="AD426" s="1" t="s">
        <v>149</v>
      </c>
      <c r="AE426" s="1"/>
      <c r="AF426" s="1">
        <v>-40.331665</v>
      </c>
      <c r="AG426" s="1">
        <v>-22.254168</v>
      </c>
      <c r="AH426" s="1" t="s">
        <v>2130</v>
      </c>
      <c r="AI426" s="1"/>
      <c r="AJ426" s="1" t="s">
        <v>172</v>
      </c>
      <c r="AK426" s="1"/>
      <c r="AL426" s="1"/>
      <c r="AM426" s="1" t="s">
        <v>65</v>
      </c>
      <c r="AN426" s="1" t="s">
        <v>720</v>
      </c>
      <c r="AO426" s="1"/>
      <c r="AP426" s="2">
        <v>44013.7182060185</v>
      </c>
      <c r="AQ426" s="1"/>
      <c r="AR426" s="1" t="s">
        <v>1360</v>
      </c>
      <c r="AS426" s="1" t="s">
        <v>1361</v>
      </c>
      <c r="AT426" s="2">
        <v>44269.931099537</v>
      </c>
    </row>
    <row r="427" ht="13.5" customHeight="1">
      <c r="A427" s="1"/>
      <c r="B427" s="1" t="s">
        <v>46</v>
      </c>
      <c r="C427" s="1" t="s">
        <v>47</v>
      </c>
      <c r="D427" s="1"/>
      <c r="E427" s="1" t="s">
        <v>2131</v>
      </c>
      <c r="F427" s="1"/>
      <c r="G427" s="1" t="s">
        <v>49</v>
      </c>
      <c r="H427" s="1" t="s">
        <v>93</v>
      </c>
      <c r="I427" s="1">
        <v>9932.25</v>
      </c>
      <c r="J427" s="1"/>
      <c r="K427" s="1"/>
      <c r="L427" s="1"/>
      <c r="M427" s="1" t="s">
        <v>2132</v>
      </c>
      <c r="N427" s="1" t="s">
        <v>283</v>
      </c>
      <c r="O427" s="1" t="s">
        <v>1133</v>
      </c>
      <c r="P427" s="2">
        <v>43809.6054861111</v>
      </c>
      <c r="Q427" s="1" t="s">
        <v>74</v>
      </c>
      <c r="R427" s="3">
        <v>43809.0</v>
      </c>
      <c r="S427" s="1"/>
      <c r="T427" s="1">
        <v>1100403.0</v>
      </c>
      <c r="U427" s="1" t="s">
        <v>2038</v>
      </c>
      <c r="V427" s="1" t="s">
        <v>448</v>
      </c>
      <c r="W427" s="1" t="s">
        <v>177</v>
      </c>
      <c r="X427" s="1"/>
      <c r="Y427" s="1"/>
      <c r="Z427" s="1" t="s">
        <v>128</v>
      </c>
      <c r="AA427" s="1" t="s">
        <v>2133</v>
      </c>
      <c r="AB427" s="1" t="str">
        <f>"22635807000133"</f>
        <v>22635807000133</v>
      </c>
      <c r="AC427" s="1"/>
      <c r="AD427" s="1" t="s">
        <v>62</v>
      </c>
      <c r="AE427" s="1"/>
      <c r="AF427" s="1">
        <v>-63.333611</v>
      </c>
      <c r="AG427" s="1">
        <v>-9.752222</v>
      </c>
      <c r="AH427" s="1" t="s">
        <v>2049</v>
      </c>
      <c r="AI427" s="1"/>
      <c r="AJ427" s="1" t="s">
        <v>371</v>
      </c>
      <c r="AK427" s="1"/>
      <c r="AL427" s="1"/>
      <c r="AM427" s="1" t="s">
        <v>65</v>
      </c>
      <c r="AN427" s="1" t="s">
        <v>378</v>
      </c>
      <c r="AO427" s="1"/>
      <c r="AP427" s="2">
        <v>43809.6120023148</v>
      </c>
      <c r="AQ427" s="1"/>
      <c r="AR427" s="1" t="s">
        <v>613</v>
      </c>
      <c r="AS427" s="1"/>
      <c r="AT427" s="2">
        <v>44269.931099537</v>
      </c>
    </row>
    <row r="428" ht="13.5" customHeight="1">
      <c r="A428" s="1">
        <v>2034465.0</v>
      </c>
      <c r="B428" s="1" t="s">
        <v>67</v>
      </c>
      <c r="C428" s="1" t="s">
        <v>68</v>
      </c>
      <c r="D428" s="1" t="s">
        <v>46</v>
      </c>
      <c r="E428" s="1" t="s">
        <v>2134</v>
      </c>
      <c r="F428" s="1"/>
      <c r="G428" s="1" t="s">
        <v>70</v>
      </c>
      <c r="H428" s="1" t="s">
        <v>93</v>
      </c>
      <c r="I428" s="1">
        <v>1000.0</v>
      </c>
      <c r="J428" s="1"/>
      <c r="K428" s="1"/>
      <c r="L428" s="1" t="s">
        <v>106</v>
      </c>
      <c r="M428" s="1" t="s">
        <v>2135</v>
      </c>
      <c r="N428" s="1" t="s">
        <v>95</v>
      </c>
      <c r="O428" s="1" t="s">
        <v>96</v>
      </c>
      <c r="P428" s="2">
        <v>43809.6041666667</v>
      </c>
      <c r="Q428" s="1" t="s">
        <v>373</v>
      </c>
      <c r="R428" s="1"/>
      <c r="S428" s="1"/>
      <c r="T428" s="1">
        <v>2305654.0</v>
      </c>
      <c r="U428" s="1" t="s">
        <v>2092</v>
      </c>
      <c r="V428" s="1" t="s">
        <v>112</v>
      </c>
      <c r="W428" s="1" t="s">
        <v>113</v>
      </c>
      <c r="X428" s="1"/>
      <c r="Y428" s="1" t="str">
        <f>"02007004071201965"</f>
        <v>02007004071201965</v>
      </c>
      <c r="Z428" s="1" t="s">
        <v>1848</v>
      </c>
      <c r="AA428" s="1" t="s">
        <v>2136</v>
      </c>
      <c r="AB428" s="1" t="str">
        <f>"***565651**"</f>
        <v>***565651**</v>
      </c>
      <c r="AC428" s="1"/>
      <c r="AD428" s="1" t="s">
        <v>116</v>
      </c>
      <c r="AE428" s="1"/>
      <c r="AF428" s="1">
        <v>0.0</v>
      </c>
      <c r="AG428" s="1">
        <v>0.0</v>
      </c>
      <c r="AH428" s="1" t="s">
        <v>2137</v>
      </c>
      <c r="AI428" s="1"/>
      <c r="AJ428" s="1"/>
      <c r="AK428" s="1"/>
      <c r="AL428" s="1" t="s">
        <v>118</v>
      </c>
      <c r="AM428" s="1"/>
      <c r="AN428" s="1"/>
      <c r="AO428" s="2">
        <v>43873.3736689815</v>
      </c>
      <c r="AP428" s="2">
        <v>43873.3736689815</v>
      </c>
      <c r="AQ428" s="1" t="s">
        <v>80</v>
      </c>
      <c r="AR428" s="1" t="s">
        <v>1270</v>
      </c>
      <c r="AS428" s="1"/>
      <c r="AT428" s="2">
        <v>44269.931099537</v>
      </c>
    </row>
    <row r="429" ht="13.5" customHeight="1">
      <c r="A429" s="1"/>
      <c r="B429" s="1" t="s">
        <v>46</v>
      </c>
      <c r="C429" s="1" t="s">
        <v>47</v>
      </c>
      <c r="D429" s="1"/>
      <c r="E429" s="1" t="s">
        <v>2138</v>
      </c>
      <c r="F429" s="1"/>
      <c r="G429" s="1" t="s">
        <v>49</v>
      </c>
      <c r="H429" s="1" t="s">
        <v>50</v>
      </c>
      <c r="I429" s="1">
        <v>200000.0</v>
      </c>
      <c r="J429" s="1"/>
      <c r="K429" s="1" t="s">
        <v>51</v>
      </c>
      <c r="L429" s="1"/>
      <c r="M429" s="1" t="s">
        <v>2139</v>
      </c>
      <c r="N429" s="1" t="s">
        <v>283</v>
      </c>
      <c r="O429" s="1" t="s">
        <v>1133</v>
      </c>
      <c r="P429" s="2">
        <v>43809.5983333333</v>
      </c>
      <c r="Q429" s="1" t="s">
        <v>74</v>
      </c>
      <c r="R429" s="1"/>
      <c r="S429" s="1"/>
      <c r="T429" s="1">
        <v>3302403.0</v>
      </c>
      <c r="U429" s="1" t="s">
        <v>1371</v>
      </c>
      <c r="V429" s="1" t="s">
        <v>287</v>
      </c>
      <c r="W429" s="1" t="s">
        <v>288</v>
      </c>
      <c r="X429" s="1"/>
      <c r="Y429" s="1"/>
      <c r="Z429" s="1" t="s">
        <v>128</v>
      </c>
      <c r="AA429" s="1" t="s">
        <v>1449</v>
      </c>
      <c r="AB429" s="1" t="str">
        <f>"33000167100750"</f>
        <v>33000167100750</v>
      </c>
      <c r="AC429" s="1"/>
      <c r="AD429" s="1" t="s">
        <v>149</v>
      </c>
      <c r="AE429" s="1"/>
      <c r="AF429" s="1">
        <v>-40.413334</v>
      </c>
      <c r="AG429" s="1">
        <v>-22.449444</v>
      </c>
      <c r="AH429" s="1" t="s">
        <v>1484</v>
      </c>
      <c r="AI429" s="1"/>
      <c r="AJ429" s="1" t="s">
        <v>172</v>
      </c>
      <c r="AK429" s="1"/>
      <c r="AL429" s="1"/>
      <c r="AM429" s="1" t="s">
        <v>65</v>
      </c>
      <c r="AN429" s="1" t="s">
        <v>720</v>
      </c>
      <c r="AO429" s="1"/>
      <c r="AP429" s="2">
        <v>44013.7183101852</v>
      </c>
      <c r="AQ429" s="1"/>
      <c r="AR429" s="1" t="s">
        <v>1360</v>
      </c>
      <c r="AS429" s="1" t="s">
        <v>1361</v>
      </c>
      <c r="AT429" s="2">
        <v>44269.931099537</v>
      </c>
    </row>
    <row r="430" ht="13.5" customHeight="1">
      <c r="A430" s="1">
        <v>2034512.0</v>
      </c>
      <c r="B430" s="1" t="s">
        <v>67</v>
      </c>
      <c r="C430" s="1" t="s">
        <v>68</v>
      </c>
      <c r="D430" s="1" t="s">
        <v>46</v>
      </c>
      <c r="E430" s="1" t="s">
        <v>2140</v>
      </c>
      <c r="F430" s="1"/>
      <c r="G430" s="1" t="s">
        <v>70</v>
      </c>
      <c r="H430" s="1" t="s">
        <v>93</v>
      </c>
      <c r="I430" s="1">
        <v>1000.0</v>
      </c>
      <c r="J430" s="1"/>
      <c r="K430" s="1"/>
      <c r="L430" s="1" t="s">
        <v>106</v>
      </c>
      <c r="M430" s="1" t="s">
        <v>2141</v>
      </c>
      <c r="N430" s="1" t="s">
        <v>108</v>
      </c>
      <c r="O430" s="1" t="s">
        <v>109</v>
      </c>
      <c r="P430" s="2">
        <v>43809.5944444444</v>
      </c>
      <c r="Q430" s="1" t="s">
        <v>74</v>
      </c>
      <c r="R430" s="1"/>
      <c r="S430" s="1"/>
      <c r="T430" s="1">
        <v>2304400.0</v>
      </c>
      <c r="U430" s="1" t="s">
        <v>111</v>
      </c>
      <c r="V430" s="1" t="s">
        <v>112</v>
      </c>
      <c r="W430" s="1" t="s">
        <v>113</v>
      </c>
      <c r="X430" s="1"/>
      <c r="Y430" s="1" t="str">
        <f>"02007004135201928"</f>
        <v>02007004135201928</v>
      </c>
      <c r="Z430" s="1" t="s">
        <v>114</v>
      </c>
      <c r="AA430" s="1" t="s">
        <v>2142</v>
      </c>
      <c r="AB430" s="1" t="str">
        <f>"04985843000145"</f>
        <v>04985843000145</v>
      </c>
      <c r="AC430" s="1"/>
      <c r="AD430" s="1" t="s">
        <v>116</v>
      </c>
      <c r="AE430" s="1"/>
      <c r="AF430" s="1">
        <v>0.0</v>
      </c>
      <c r="AG430" s="1">
        <v>0.0</v>
      </c>
      <c r="AH430" s="1" t="s">
        <v>2143</v>
      </c>
      <c r="AI430" s="1"/>
      <c r="AJ430" s="1"/>
      <c r="AK430" s="1"/>
      <c r="AL430" s="1" t="s">
        <v>118</v>
      </c>
      <c r="AM430" s="1"/>
      <c r="AN430" s="1"/>
      <c r="AO430" s="2">
        <v>43880.3690162037</v>
      </c>
      <c r="AP430" s="2">
        <v>43880.3690162037</v>
      </c>
      <c r="AQ430" s="1" t="s">
        <v>80</v>
      </c>
      <c r="AR430" s="1" t="s">
        <v>119</v>
      </c>
      <c r="AS430" s="1"/>
      <c r="AT430" s="2">
        <v>44269.931099537</v>
      </c>
    </row>
    <row r="431" ht="13.5" customHeight="1">
      <c r="A431" s="1"/>
      <c r="B431" s="1" t="s">
        <v>46</v>
      </c>
      <c r="C431" s="1" t="s">
        <v>47</v>
      </c>
      <c r="D431" s="1"/>
      <c r="E431" s="1" t="s">
        <v>2144</v>
      </c>
      <c r="F431" s="1"/>
      <c r="G431" s="1" t="s">
        <v>49</v>
      </c>
      <c r="H431" s="1" t="s">
        <v>50</v>
      </c>
      <c r="I431" s="1">
        <v>100000.0</v>
      </c>
      <c r="J431" s="1"/>
      <c r="K431" s="1" t="s">
        <v>51</v>
      </c>
      <c r="L431" s="1"/>
      <c r="M431" s="1" t="s">
        <v>2145</v>
      </c>
      <c r="N431" s="1" t="s">
        <v>283</v>
      </c>
      <c r="O431" s="1" t="s">
        <v>1133</v>
      </c>
      <c r="P431" s="2">
        <v>43809.587025463</v>
      </c>
      <c r="Q431" s="1" t="s">
        <v>74</v>
      </c>
      <c r="R431" s="1"/>
      <c r="S431" s="1"/>
      <c r="T431" s="1">
        <v>3204302.0</v>
      </c>
      <c r="U431" s="1" t="s">
        <v>1380</v>
      </c>
      <c r="V431" s="1" t="s">
        <v>403</v>
      </c>
      <c r="W431" s="1" t="s">
        <v>288</v>
      </c>
      <c r="X431" s="1"/>
      <c r="Y431" s="1"/>
      <c r="Z431" s="1" t="s">
        <v>128</v>
      </c>
      <c r="AA431" s="1" t="s">
        <v>1381</v>
      </c>
      <c r="AB431" s="1" t="str">
        <f>"33000167000454"</f>
        <v>33000167000454</v>
      </c>
      <c r="AC431" s="1"/>
      <c r="AD431" s="1" t="s">
        <v>149</v>
      </c>
      <c r="AE431" s="1"/>
      <c r="AF431" s="1">
        <v>-39.997501</v>
      </c>
      <c r="AG431" s="1">
        <v>-21.215557</v>
      </c>
      <c r="AH431" s="1" t="s">
        <v>2146</v>
      </c>
      <c r="AI431" s="1"/>
      <c r="AJ431" s="1" t="s">
        <v>172</v>
      </c>
      <c r="AK431" s="1"/>
      <c r="AL431" s="1"/>
      <c r="AM431" s="1" t="s">
        <v>65</v>
      </c>
      <c r="AN431" s="1" t="s">
        <v>720</v>
      </c>
      <c r="AO431" s="1"/>
      <c r="AP431" s="2">
        <v>44013.7184143519</v>
      </c>
      <c r="AQ431" s="1"/>
      <c r="AR431" s="1" t="s">
        <v>1360</v>
      </c>
      <c r="AS431" s="1" t="s">
        <v>1531</v>
      </c>
      <c r="AT431" s="2">
        <v>44269.931099537</v>
      </c>
    </row>
    <row r="432" ht="13.5" customHeight="1">
      <c r="A432" s="1"/>
      <c r="B432" s="1" t="s">
        <v>46</v>
      </c>
      <c r="C432" s="1" t="s">
        <v>47</v>
      </c>
      <c r="D432" s="1"/>
      <c r="E432" s="1" t="s">
        <v>2147</v>
      </c>
      <c r="F432" s="1"/>
      <c r="G432" s="1" t="s">
        <v>49</v>
      </c>
      <c r="H432" s="1" t="s">
        <v>93</v>
      </c>
      <c r="I432" s="1">
        <v>8733.0</v>
      </c>
      <c r="J432" s="1"/>
      <c r="K432" s="1"/>
      <c r="L432" s="1"/>
      <c r="M432" s="1" t="s">
        <v>2148</v>
      </c>
      <c r="N432" s="1" t="s">
        <v>142</v>
      </c>
      <c r="O432" s="1" t="s">
        <v>143</v>
      </c>
      <c r="P432" s="2">
        <v>43809.5846990741</v>
      </c>
      <c r="Q432" s="1" t="s">
        <v>74</v>
      </c>
      <c r="R432" s="3">
        <v>43809.0</v>
      </c>
      <c r="S432" s="1"/>
      <c r="T432" s="1">
        <v>1100403.0</v>
      </c>
      <c r="U432" s="1" t="s">
        <v>2038</v>
      </c>
      <c r="V432" s="1" t="s">
        <v>448</v>
      </c>
      <c r="W432" s="1" t="s">
        <v>177</v>
      </c>
      <c r="X432" s="1"/>
      <c r="Y432" s="1"/>
      <c r="Z432" s="1" t="s">
        <v>147</v>
      </c>
      <c r="AA432" s="1" t="s">
        <v>2149</v>
      </c>
      <c r="AB432" s="1" t="str">
        <f>"22635807000133"</f>
        <v>22635807000133</v>
      </c>
      <c r="AC432" s="1"/>
      <c r="AD432" s="1" t="s">
        <v>62</v>
      </c>
      <c r="AE432" s="1"/>
      <c r="AF432" s="1">
        <v>-63.333611</v>
      </c>
      <c r="AG432" s="1">
        <v>-9.752222</v>
      </c>
      <c r="AH432" s="1" t="s">
        <v>2049</v>
      </c>
      <c r="AI432" s="1"/>
      <c r="AJ432" s="1" t="s">
        <v>371</v>
      </c>
      <c r="AK432" s="1"/>
      <c r="AL432" s="1"/>
      <c r="AM432" s="1" t="s">
        <v>65</v>
      </c>
      <c r="AN432" s="1" t="s">
        <v>378</v>
      </c>
      <c r="AO432" s="1"/>
      <c r="AP432" s="2">
        <v>43809.59375</v>
      </c>
      <c r="AQ432" s="1"/>
      <c r="AR432" s="1" t="s">
        <v>613</v>
      </c>
      <c r="AS432" s="1"/>
      <c r="AT432" s="2">
        <v>44269.931099537</v>
      </c>
    </row>
    <row r="433" ht="13.5" customHeight="1">
      <c r="A433" s="1">
        <v>2034712.0</v>
      </c>
      <c r="B433" s="1" t="s">
        <v>67</v>
      </c>
      <c r="C433" s="1" t="s">
        <v>68</v>
      </c>
      <c r="D433" s="1" t="s">
        <v>46</v>
      </c>
      <c r="E433" s="1" t="s">
        <v>2150</v>
      </c>
      <c r="F433" s="1"/>
      <c r="G433" s="1" t="s">
        <v>70</v>
      </c>
      <c r="H433" s="1" t="s">
        <v>93</v>
      </c>
      <c r="I433" s="1">
        <v>500.0</v>
      </c>
      <c r="J433" s="1"/>
      <c r="K433" s="1"/>
      <c r="L433" s="1" t="s">
        <v>64</v>
      </c>
      <c r="M433" s="1" t="s">
        <v>2151</v>
      </c>
      <c r="N433" s="1" t="s">
        <v>95</v>
      </c>
      <c r="O433" s="1" t="s">
        <v>96</v>
      </c>
      <c r="P433" s="2">
        <v>43809.5833333333</v>
      </c>
      <c r="Q433" s="1" t="s">
        <v>74</v>
      </c>
      <c r="R433" s="3">
        <v>43808.0</v>
      </c>
      <c r="S433" s="1"/>
      <c r="T433" s="1">
        <v>3549805.0</v>
      </c>
      <c r="U433" s="1" t="s">
        <v>1927</v>
      </c>
      <c r="V433" s="1" t="s">
        <v>58</v>
      </c>
      <c r="W433" s="1" t="s">
        <v>59</v>
      </c>
      <c r="X433" s="1"/>
      <c r="Y433" s="1" t="str">
        <f>"02027021778201906"</f>
        <v>02027021778201906</v>
      </c>
      <c r="Z433" s="1" t="s">
        <v>98</v>
      </c>
      <c r="AA433" s="1" t="s">
        <v>2152</v>
      </c>
      <c r="AB433" s="1" t="str">
        <f>"***539428**"</f>
        <v>***539428**</v>
      </c>
      <c r="AC433" s="1"/>
      <c r="AD433" s="1"/>
      <c r="AE433" s="1"/>
      <c r="AF433" s="1">
        <v>-49.355278</v>
      </c>
      <c r="AG433" s="1">
        <v>-20.791666</v>
      </c>
      <c r="AH433" s="1" t="s">
        <v>1929</v>
      </c>
      <c r="AI433" s="1"/>
      <c r="AJ433" s="1" t="s">
        <v>64</v>
      </c>
      <c r="AK433" s="1"/>
      <c r="AL433" s="1" t="s">
        <v>79</v>
      </c>
      <c r="AM433" s="1" t="s">
        <v>65</v>
      </c>
      <c r="AN433" s="1"/>
      <c r="AO433" s="2">
        <v>43889.0</v>
      </c>
      <c r="AP433" s="2">
        <v>43889.5923611111</v>
      </c>
      <c r="AQ433" s="1" t="s">
        <v>80</v>
      </c>
      <c r="AR433" s="1" t="s">
        <v>953</v>
      </c>
      <c r="AS433" s="1" t="s">
        <v>1930</v>
      </c>
      <c r="AT433" s="2">
        <v>44269.931099537</v>
      </c>
    </row>
    <row r="434" ht="13.5" customHeight="1">
      <c r="A434" s="1">
        <v>2034817.0</v>
      </c>
      <c r="B434" s="1" t="s">
        <v>67</v>
      </c>
      <c r="C434" s="1" t="s">
        <v>68</v>
      </c>
      <c r="D434" s="1" t="s">
        <v>46</v>
      </c>
      <c r="E434" s="1" t="s">
        <v>2153</v>
      </c>
      <c r="F434" s="1"/>
      <c r="G434" s="1" t="s">
        <v>70</v>
      </c>
      <c r="H434" s="1" t="s">
        <v>50</v>
      </c>
      <c r="I434" s="1">
        <v>1000.0</v>
      </c>
      <c r="J434" s="1"/>
      <c r="K434" s="1"/>
      <c r="L434" s="1" t="s">
        <v>386</v>
      </c>
      <c r="M434" s="1" t="s">
        <v>2154</v>
      </c>
      <c r="N434" s="1" t="s">
        <v>72</v>
      </c>
      <c r="O434" s="1" t="s">
        <v>73</v>
      </c>
      <c r="P434" s="2">
        <v>43809.5833333333</v>
      </c>
      <c r="Q434" s="1" t="s">
        <v>74</v>
      </c>
      <c r="R434" s="3">
        <v>43808.0</v>
      </c>
      <c r="S434" s="1"/>
      <c r="T434" s="1">
        <v>1721000.0</v>
      </c>
      <c r="U434" s="1" t="s">
        <v>2155</v>
      </c>
      <c r="V434" s="1" t="s">
        <v>2156</v>
      </c>
      <c r="W434" s="1" t="s">
        <v>127</v>
      </c>
      <c r="X434" s="1"/>
      <c r="Y434" s="1" t="str">
        <f>"02029001508201951"</f>
        <v>02029001508201951</v>
      </c>
      <c r="Z434" s="1" t="s">
        <v>76</v>
      </c>
      <c r="AA434" s="1" t="s">
        <v>2157</v>
      </c>
      <c r="AB434" s="1" t="str">
        <f>"32308312000153"</f>
        <v>32308312000153</v>
      </c>
      <c r="AC434" s="1"/>
      <c r="AD434" s="1"/>
      <c r="AE434" s="1"/>
      <c r="AF434" s="1">
        <v>-48.3325</v>
      </c>
      <c r="AG434" s="1">
        <v>-10.189167</v>
      </c>
      <c r="AH434" s="1" t="s">
        <v>2158</v>
      </c>
      <c r="AI434" s="1">
        <v>501112.0</v>
      </c>
      <c r="AJ434" s="1" t="s">
        <v>386</v>
      </c>
      <c r="AK434" s="1"/>
      <c r="AL434" s="1" t="s">
        <v>79</v>
      </c>
      <c r="AM434" s="1" t="s">
        <v>65</v>
      </c>
      <c r="AN434" s="1" t="s">
        <v>391</v>
      </c>
      <c r="AO434" s="2">
        <v>43892.0</v>
      </c>
      <c r="AP434" s="2">
        <v>43892.4296180555</v>
      </c>
      <c r="AQ434" s="1" t="s">
        <v>80</v>
      </c>
      <c r="AR434" s="1" t="s">
        <v>1072</v>
      </c>
      <c r="AS434" s="1"/>
      <c r="AT434" s="2">
        <v>44269.931099537</v>
      </c>
    </row>
    <row r="435" ht="13.5" customHeight="1">
      <c r="A435" s="1">
        <v>2035494.0</v>
      </c>
      <c r="B435" s="1" t="s">
        <v>67</v>
      </c>
      <c r="C435" s="1" t="s">
        <v>68</v>
      </c>
      <c r="D435" s="1" t="s">
        <v>46</v>
      </c>
      <c r="E435" s="1" t="s">
        <v>2159</v>
      </c>
      <c r="F435" s="1"/>
      <c r="G435" s="1" t="s">
        <v>70</v>
      </c>
      <c r="H435" s="1" t="s">
        <v>50</v>
      </c>
      <c r="I435" s="1">
        <v>309000.0</v>
      </c>
      <c r="J435" s="1"/>
      <c r="K435" s="1"/>
      <c r="L435" s="1" t="s">
        <v>172</v>
      </c>
      <c r="M435" s="1" t="s">
        <v>2160</v>
      </c>
      <c r="N435" s="1" t="s">
        <v>142</v>
      </c>
      <c r="O435" s="1" t="s">
        <v>143</v>
      </c>
      <c r="P435" s="2">
        <v>43809.5833333333</v>
      </c>
      <c r="Q435" s="1" t="s">
        <v>74</v>
      </c>
      <c r="R435" s="3">
        <v>43809.0</v>
      </c>
      <c r="S435" s="1"/>
      <c r="T435" s="1">
        <v>1300706.0</v>
      </c>
      <c r="U435" s="1" t="s">
        <v>2161</v>
      </c>
      <c r="V435" s="1" t="s">
        <v>486</v>
      </c>
      <c r="W435" s="1" t="s">
        <v>177</v>
      </c>
      <c r="X435" s="1"/>
      <c r="Y435" s="1" t="str">
        <f>"02001007139202051"</f>
        <v>02001007139202051</v>
      </c>
      <c r="Z435" s="1" t="s">
        <v>147</v>
      </c>
      <c r="AA435" s="1" t="s">
        <v>2162</v>
      </c>
      <c r="AB435" s="1" t="str">
        <f>"***730932**"</f>
        <v>***730932**</v>
      </c>
      <c r="AC435" s="1"/>
      <c r="AD435" s="1"/>
      <c r="AE435" s="1"/>
      <c r="AF435" s="1">
        <v>-67.540558</v>
      </c>
      <c r="AG435" s="1">
        <v>-9.451667</v>
      </c>
      <c r="AH435" s="1" t="s">
        <v>2163</v>
      </c>
      <c r="AI435" s="1"/>
      <c r="AJ435" s="1" t="s">
        <v>172</v>
      </c>
      <c r="AK435" s="1"/>
      <c r="AL435" s="1" t="s">
        <v>79</v>
      </c>
      <c r="AM435" s="1" t="s">
        <v>65</v>
      </c>
      <c r="AN435" s="1" t="s">
        <v>2164</v>
      </c>
      <c r="AO435" s="2">
        <v>43906.0</v>
      </c>
      <c r="AP435" s="2">
        <v>43906.7066435185</v>
      </c>
      <c r="AQ435" s="1" t="s">
        <v>80</v>
      </c>
      <c r="AR435" s="1" t="s">
        <v>2165</v>
      </c>
      <c r="AS435" s="1"/>
      <c r="AT435" s="2">
        <v>44269.931099537</v>
      </c>
    </row>
    <row r="436" ht="13.5" customHeight="1">
      <c r="A436" s="1">
        <v>2035994.0</v>
      </c>
      <c r="B436" s="1" t="s">
        <v>67</v>
      </c>
      <c r="C436" s="1" t="s">
        <v>68</v>
      </c>
      <c r="D436" s="1" t="s">
        <v>46</v>
      </c>
      <c r="E436" s="1" t="s">
        <v>2166</v>
      </c>
      <c r="F436" s="1"/>
      <c r="G436" s="1" t="s">
        <v>70</v>
      </c>
      <c r="H436" s="1" t="s">
        <v>50</v>
      </c>
      <c r="I436" s="1">
        <v>20000.0</v>
      </c>
      <c r="J436" s="1"/>
      <c r="K436" s="1"/>
      <c r="L436" s="1" t="s">
        <v>172</v>
      </c>
      <c r="M436" s="1" t="s">
        <v>2167</v>
      </c>
      <c r="N436" s="1" t="s">
        <v>142</v>
      </c>
      <c r="O436" s="1" t="s">
        <v>143</v>
      </c>
      <c r="P436" s="2">
        <v>43809.5833333333</v>
      </c>
      <c r="Q436" s="1" t="s">
        <v>373</v>
      </c>
      <c r="R436" s="3">
        <v>43809.0</v>
      </c>
      <c r="S436" s="1"/>
      <c r="T436" s="1">
        <v>1100080.0</v>
      </c>
      <c r="U436" s="1" t="s">
        <v>1392</v>
      </c>
      <c r="V436" s="1" t="s">
        <v>448</v>
      </c>
      <c r="W436" s="1" t="s">
        <v>177</v>
      </c>
      <c r="X436" s="1"/>
      <c r="Y436" s="1" t="str">
        <f>"02001009362202033"</f>
        <v>02001009362202033</v>
      </c>
      <c r="Z436" s="1" t="s">
        <v>147</v>
      </c>
      <c r="AA436" s="1" t="s">
        <v>2168</v>
      </c>
      <c r="AB436" s="1" t="str">
        <f>"***920192**"</f>
        <v>***920192**</v>
      </c>
      <c r="AC436" s="1"/>
      <c r="AD436" s="1"/>
      <c r="AE436" s="1"/>
      <c r="AF436" s="1">
        <v>-64.142776</v>
      </c>
      <c r="AG436" s="1">
        <v>-12.389722</v>
      </c>
      <c r="AH436" s="1" t="s">
        <v>2169</v>
      </c>
      <c r="AI436" s="1"/>
      <c r="AJ436" s="1" t="s">
        <v>172</v>
      </c>
      <c r="AK436" s="1"/>
      <c r="AL436" s="1" t="s">
        <v>79</v>
      </c>
      <c r="AM436" s="1" t="s">
        <v>65</v>
      </c>
      <c r="AN436" s="1" t="s">
        <v>1395</v>
      </c>
      <c r="AO436" s="2">
        <v>43923.0</v>
      </c>
      <c r="AP436" s="2">
        <v>43923.7033333333</v>
      </c>
      <c r="AQ436" s="1" t="s">
        <v>80</v>
      </c>
      <c r="AR436" s="1" t="s">
        <v>1607</v>
      </c>
      <c r="AS436" s="1"/>
      <c r="AT436" s="2">
        <v>44269.931099537</v>
      </c>
    </row>
    <row r="437" ht="13.5" customHeight="1">
      <c r="A437" s="1">
        <v>2041849.0</v>
      </c>
      <c r="B437" s="1" t="s">
        <v>67</v>
      </c>
      <c r="C437" s="1" t="s">
        <v>68</v>
      </c>
      <c r="D437" s="1" t="s">
        <v>46</v>
      </c>
      <c r="E437" s="1" t="s">
        <v>2170</v>
      </c>
      <c r="F437" s="1"/>
      <c r="G437" s="1" t="s">
        <v>70</v>
      </c>
      <c r="H437" s="1" t="s">
        <v>50</v>
      </c>
      <c r="I437" s="1">
        <v>100000.0</v>
      </c>
      <c r="J437" s="1"/>
      <c r="K437" s="1"/>
      <c r="L437" s="1" t="s">
        <v>172</v>
      </c>
      <c r="M437" s="1" t="s">
        <v>2171</v>
      </c>
      <c r="N437" s="1" t="s">
        <v>283</v>
      </c>
      <c r="O437" s="1" t="s">
        <v>1133</v>
      </c>
      <c r="P437" s="2">
        <v>43809.5833333333</v>
      </c>
      <c r="Q437" s="1" t="s">
        <v>74</v>
      </c>
      <c r="R437" s="1"/>
      <c r="S437" s="1"/>
      <c r="T437" s="1">
        <v>3302403.0</v>
      </c>
      <c r="U437" s="1" t="s">
        <v>1371</v>
      </c>
      <c r="V437" s="1" t="s">
        <v>287</v>
      </c>
      <c r="W437" s="1" t="s">
        <v>288</v>
      </c>
      <c r="X437" s="1"/>
      <c r="Y437" s="1" t="str">
        <f>"02001035327201936"</f>
        <v>02001035327201936</v>
      </c>
      <c r="Z437" s="1" t="s">
        <v>128</v>
      </c>
      <c r="AA437" s="1" t="s">
        <v>1449</v>
      </c>
      <c r="AB437" s="1" t="str">
        <f>"33000167100750"</f>
        <v>33000167100750</v>
      </c>
      <c r="AC437" s="1"/>
      <c r="AD437" s="1"/>
      <c r="AE437" s="1"/>
      <c r="AF437" s="1">
        <v>-40.195</v>
      </c>
      <c r="AG437" s="1">
        <v>-22.341946</v>
      </c>
      <c r="AH437" s="1" t="s">
        <v>1450</v>
      </c>
      <c r="AI437" s="1"/>
      <c r="AJ437" s="1" t="s">
        <v>172</v>
      </c>
      <c r="AK437" s="1"/>
      <c r="AL437" s="1" t="s">
        <v>79</v>
      </c>
      <c r="AM437" s="1" t="s">
        <v>65</v>
      </c>
      <c r="AN437" s="1" t="s">
        <v>720</v>
      </c>
      <c r="AO437" s="2">
        <v>44176.0</v>
      </c>
      <c r="AP437" s="2">
        <v>44176.7745949074</v>
      </c>
      <c r="AQ437" s="1" t="s">
        <v>80</v>
      </c>
      <c r="AR437" s="1" t="s">
        <v>1485</v>
      </c>
      <c r="AS437" s="1" t="s">
        <v>1361</v>
      </c>
      <c r="AT437" s="2">
        <v>44269.931099537</v>
      </c>
    </row>
    <row r="438" ht="13.5" customHeight="1">
      <c r="A438" s="1">
        <v>2044315.0</v>
      </c>
      <c r="B438" s="1" t="s">
        <v>67</v>
      </c>
      <c r="C438" s="1" t="s">
        <v>68</v>
      </c>
      <c r="D438" s="1" t="s">
        <v>46</v>
      </c>
      <c r="E438" s="1" t="s">
        <v>2172</v>
      </c>
      <c r="F438" s="1"/>
      <c r="G438" s="1" t="s">
        <v>70</v>
      </c>
      <c r="H438" s="1" t="s">
        <v>93</v>
      </c>
      <c r="I438" s="1">
        <v>45000.0</v>
      </c>
      <c r="J438" s="1"/>
      <c r="K438" s="1"/>
      <c r="L438" s="1" t="s">
        <v>800</v>
      </c>
      <c r="M438" s="1" t="s">
        <v>2173</v>
      </c>
      <c r="N438" s="1" t="s">
        <v>142</v>
      </c>
      <c r="O438" s="1" t="s">
        <v>143</v>
      </c>
      <c r="P438" s="2">
        <v>43809.5833333333</v>
      </c>
      <c r="Q438" s="1" t="s">
        <v>74</v>
      </c>
      <c r="R438" s="3">
        <v>43809.0</v>
      </c>
      <c r="S438" s="1"/>
      <c r="T438" s="1">
        <v>1600709.0</v>
      </c>
      <c r="U438" s="1" t="s">
        <v>2174</v>
      </c>
      <c r="V438" s="1" t="s">
        <v>797</v>
      </c>
      <c r="W438" s="1" t="s">
        <v>177</v>
      </c>
      <c r="X438" s="1"/>
      <c r="Y438" s="1" t="str">
        <f>"02004001627201991"</f>
        <v>02004001627201991</v>
      </c>
      <c r="Z438" s="1" t="s">
        <v>147</v>
      </c>
      <c r="AA438" s="1" t="s">
        <v>2175</v>
      </c>
      <c r="AB438" s="1" t="str">
        <f>"***087602**"</f>
        <v>***087602**</v>
      </c>
      <c r="AC438" s="1"/>
      <c r="AD438" s="1"/>
      <c r="AE438" s="1"/>
      <c r="AF438" s="1">
        <v>-51.210556</v>
      </c>
      <c r="AG438" s="1">
        <v>1.553056</v>
      </c>
      <c r="AH438" s="1" t="s">
        <v>2176</v>
      </c>
      <c r="AI438" s="1"/>
      <c r="AJ438" s="1" t="s">
        <v>800</v>
      </c>
      <c r="AK438" s="1"/>
      <c r="AL438" s="1" t="s">
        <v>79</v>
      </c>
      <c r="AM438" s="1" t="s">
        <v>65</v>
      </c>
      <c r="AN438" s="1" t="s">
        <v>883</v>
      </c>
      <c r="AO438" s="2">
        <v>44267.0</v>
      </c>
      <c r="AP438" s="2">
        <v>44267.7333796296</v>
      </c>
      <c r="AQ438" s="1" t="s">
        <v>80</v>
      </c>
      <c r="AR438" s="1" t="s">
        <v>650</v>
      </c>
      <c r="AS438" s="1"/>
      <c r="AT438" s="2">
        <v>44269.931099537</v>
      </c>
    </row>
    <row r="439" ht="13.5" customHeight="1">
      <c r="A439" s="1"/>
      <c r="B439" s="1" t="s">
        <v>46</v>
      </c>
      <c r="C439" s="1" t="s">
        <v>47</v>
      </c>
      <c r="D439" s="1"/>
      <c r="E439" s="1" t="s">
        <v>2177</v>
      </c>
      <c r="F439" s="1"/>
      <c r="G439" s="1" t="s">
        <v>49</v>
      </c>
      <c r="H439" s="1" t="s">
        <v>50</v>
      </c>
      <c r="I439" s="1">
        <v>200000.0</v>
      </c>
      <c r="J439" s="1"/>
      <c r="K439" s="1" t="s">
        <v>51</v>
      </c>
      <c r="L439" s="1"/>
      <c r="M439" s="1" t="s">
        <v>2178</v>
      </c>
      <c r="N439" s="1" t="s">
        <v>283</v>
      </c>
      <c r="O439" s="1" t="s">
        <v>1133</v>
      </c>
      <c r="P439" s="2">
        <v>43809.5760532407</v>
      </c>
      <c r="Q439" s="1" t="s">
        <v>74</v>
      </c>
      <c r="R439" s="1"/>
      <c r="S439" s="1"/>
      <c r="T439" s="1">
        <v>3204302.0</v>
      </c>
      <c r="U439" s="1" t="s">
        <v>1380</v>
      </c>
      <c r="V439" s="1" t="s">
        <v>403</v>
      </c>
      <c r="W439" s="1" t="s">
        <v>288</v>
      </c>
      <c r="X439" s="1"/>
      <c r="Y439" s="1"/>
      <c r="Z439" s="1" t="s">
        <v>128</v>
      </c>
      <c r="AA439" s="1" t="s">
        <v>1381</v>
      </c>
      <c r="AB439" s="1" t="str">
        <f>"33000167000454"</f>
        <v>33000167000454</v>
      </c>
      <c r="AC439" s="1"/>
      <c r="AD439" s="1" t="s">
        <v>149</v>
      </c>
      <c r="AE439" s="1"/>
      <c r="AF439" s="1">
        <v>-39.997501</v>
      </c>
      <c r="AG439" s="1">
        <v>-21.215557</v>
      </c>
      <c r="AH439" s="1" t="s">
        <v>2146</v>
      </c>
      <c r="AI439" s="1"/>
      <c r="AJ439" s="1" t="s">
        <v>172</v>
      </c>
      <c r="AK439" s="1"/>
      <c r="AL439" s="1"/>
      <c r="AM439" s="1" t="s">
        <v>65</v>
      </c>
      <c r="AN439" s="1" t="s">
        <v>720</v>
      </c>
      <c r="AO439" s="1"/>
      <c r="AP439" s="2">
        <v>44013.7185069445</v>
      </c>
      <c r="AQ439" s="1"/>
      <c r="AR439" s="1" t="s">
        <v>1360</v>
      </c>
      <c r="AS439" s="1" t="s">
        <v>1361</v>
      </c>
      <c r="AT439" s="2">
        <v>44269.931099537</v>
      </c>
    </row>
    <row r="440" ht="13.5" customHeight="1">
      <c r="A440" s="1"/>
      <c r="B440" s="1" t="s">
        <v>46</v>
      </c>
      <c r="C440" s="1" t="s">
        <v>47</v>
      </c>
      <c r="D440" s="1"/>
      <c r="E440" s="1" t="s">
        <v>2179</v>
      </c>
      <c r="F440" s="1"/>
      <c r="G440" s="1" t="s">
        <v>49</v>
      </c>
      <c r="H440" s="1" t="s">
        <v>93</v>
      </c>
      <c r="I440" s="1">
        <v>1190000.0</v>
      </c>
      <c r="J440" s="1"/>
      <c r="K440" s="1"/>
      <c r="L440" s="1"/>
      <c r="M440" s="1" t="s">
        <v>2180</v>
      </c>
      <c r="N440" s="1" t="s">
        <v>142</v>
      </c>
      <c r="O440" s="1" t="s">
        <v>143</v>
      </c>
      <c r="P440" s="2">
        <v>43809.573287037</v>
      </c>
      <c r="Q440" s="1" t="s">
        <v>373</v>
      </c>
      <c r="R440" s="1"/>
      <c r="S440" s="1"/>
      <c r="T440" s="1">
        <v>1101492.0</v>
      </c>
      <c r="U440" s="1" t="s">
        <v>2181</v>
      </c>
      <c r="V440" s="1" t="s">
        <v>448</v>
      </c>
      <c r="W440" s="1" t="s">
        <v>177</v>
      </c>
      <c r="X440" s="1"/>
      <c r="Y440" s="1"/>
      <c r="Z440" s="1" t="s">
        <v>147</v>
      </c>
      <c r="AA440" s="1" t="s">
        <v>2182</v>
      </c>
      <c r="AB440" s="1" t="str">
        <f>"***627842**"</f>
        <v>***627842**</v>
      </c>
      <c r="AC440" s="1"/>
      <c r="AD440" s="1" t="s">
        <v>116</v>
      </c>
      <c r="AE440" s="1"/>
      <c r="AF440" s="1">
        <v>-63.672779</v>
      </c>
      <c r="AG440" s="1">
        <v>-12.204166</v>
      </c>
      <c r="AH440" s="1" t="s">
        <v>2183</v>
      </c>
      <c r="AI440" s="1"/>
      <c r="AJ440" s="1" t="s">
        <v>172</v>
      </c>
      <c r="AK440" s="1"/>
      <c r="AL440" s="1"/>
      <c r="AM440" s="1" t="s">
        <v>65</v>
      </c>
      <c r="AN440" s="1" t="s">
        <v>1395</v>
      </c>
      <c r="AO440" s="1"/>
      <c r="AP440" s="2">
        <v>43809.597025463</v>
      </c>
      <c r="AQ440" s="1"/>
      <c r="AR440" s="1" t="s">
        <v>644</v>
      </c>
      <c r="AS440" s="1" t="s">
        <v>1864</v>
      </c>
      <c r="AT440" s="2">
        <v>44269.931099537</v>
      </c>
    </row>
    <row r="441" ht="13.5" customHeight="1">
      <c r="A441" s="1">
        <v>2034482.0</v>
      </c>
      <c r="B441" s="1" t="s">
        <v>67</v>
      </c>
      <c r="C441" s="1" t="s">
        <v>68</v>
      </c>
      <c r="D441" s="1" t="s">
        <v>46</v>
      </c>
      <c r="E441" s="1" t="s">
        <v>2184</v>
      </c>
      <c r="F441" s="1"/>
      <c r="G441" s="1" t="s">
        <v>70</v>
      </c>
      <c r="H441" s="1" t="s">
        <v>93</v>
      </c>
      <c r="I441" s="1">
        <v>9500.0</v>
      </c>
      <c r="J441" s="1"/>
      <c r="K441" s="1"/>
      <c r="L441" s="1" t="s">
        <v>106</v>
      </c>
      <c r="M441" s="1" t="s">
        <v>2185</v>
      </c>
      <c r="N441" s="1" t="s">
        <v>95</v>
      </c>
      <c r="O441" s="1" t="s">
        <v>96</v>
      </c>
      <c r="P441" s="2">
        <v>43809.5652777778</v>
      </c>
      <c r="Q441" s="1" t="s">
        <v>373</v>
      </c>
      <c r="R441" s="1"/>
      <c r="S441" s="1"/>
      <c r="T441" s="1">
        <v>2305654.0</v>
      </c>
      <c r="U441" s="1" t="s">
        <v>2092</v>
      </c>
      <c r="V441" s="1" t="s">
        <v>112</v>
      </c>
      <c r="W441" s="1" t="s">
        <v>113</v>
      </c>
      <c r="X441" s="1"/>
      <c r="Y441" s="1" t="str">
        <f>"02007004072201918"</f>
        <v>02007004072201918</v>
      </c>
      <c r="Z441" s="1" t="s">
        <v>1267</v>
      </c>
      <c r="AA441" s="1" t="s">
        <v>2186</v>
      </c>
      <c r="AB441" s="1" t="str">
        <f>"***684823**"</f>
        <v>***684823**</v>
      </c>
      <c r="AC441" s="1"/>
      <c r="AD441" s="1" t="s">
        <v>116</v>
      </c>
      <c r="AE441" s="1"/>
      <c r="AF441" s="1">
        <v>0.0</v>
      </c>
      <c r="AG441" s="1">
        <v>0.0</v>
      </c>
      <c r="AH441" s="1" t="s">
        <v>1269</v>
      </c>
      <c r="AI441" s="1"/>
      <c r="AJ441" s="1"/>
      <c r="AK441" s="1"/>
      <c r="AL441" s="1" t="s">
        <v>118</v>
      </c>
      <c r="AM441" s="1"/>
      <c r="AN441" s="1"/>
      <c r="AO441" s="2">
        <v>43875.3414930556</v>
      </c>
      <c r="AP441" s="2">
        <v>43875.3414930556</v>
      </c>
      <c r="AQ441" s="1" t="s">
        <v>80</v>
      </c>
      <c r="AR441" s="1" t="s">
        <v>2059</v>
      </c>
      <c r="AS441" s="1"/>
      <c r="AT441" s="2">
        <v>44269.931099537</v>
      </c>
    </row>
    <row r="442" ht="13.5" customHeight="1">
      <c r="A442" s="1"/>
      <c r="B442" s="1" t="s">
        <v>46</v>
      </c>
      <c r="C442" s="1" t="s">
        <v>47</v>
      </c>
      <c r="D442" s="1"/>
      <c r="E442" s="1" t="s">
        <v>2187</v>
      </c>
      <c r="F442" s="1"/>
      <c r="G442" s="1" t="s">
        <v>49</v>
      </c>
      <c r="H442" s="1" t="s">
        <v>93</v>
      </c>
      <c r="I442" s="1">
        <v>6477.9</v>
      </c>
      <c r="J442" s="1"/>
      <c r="K442" s="1"/>
      <c r="L442" s="1"/>
      <c r="M442" s="1" t="s">
        <v>2188</v>
      </c>
      <c r="N442" s="1" t="s">
        <v>142</v>
      </c>
      <c r="O442" s="1" t="s">
        <v>143</v>
      </c>
      <c r="P442" s="2">
        <v>43809.5646759259</v>
      </c>
      <c r="Q442" s="1" t="s">
        <v>373</v>
      </c>
      <c r="R442" s="1"/>
      <c r="S442" s="1"/>
      <c r="T442" s="1">
        <v>5218805.0</v>
      </c>
      <c r="U442" s="1" t="s">
        <v>374</v>
      </c>
      <c r="V442" s="1" t="s">
        <v>375</v>
      </c>
      <c r="W442" s="1" t="s">
        <v>177</v>
      </c>
      <c r="X442" s="1"/>
      <c r="Y442" s="1"/>
      <c r="Z442" s="1" t="s">
        <v>147</v>
      </c>
      <c r="AA442" s="1" t="s">
        <v>2189</v>
      </c>
      <c r="AB442" s="1" t="str">
        <f>"37453255000110"</f>
        <v>37453255000110</v>
      </c>
      <c r="AC442" s="1"/>
      <c r="AD442" s="1" t="s">
        <v>149</v>
      </c>
      <c r="AE442" s="1"/>
      <c r="AF442" s="1">
        <v>-50.961945</v>
      </c>
      <c r="AG442" s="1">
        <v>-17.824722</v>
      </c>
      <c r="AH442" s="1" t="s">
        <v>2190</v>
      </c>
      <c r="AI442" s="1"/>
      <c r="AJ442" s="1" t="s">
        <v>371</v>
      </c>
      <c r="AK442" s="1"/>
      <c r="AL442" s="1"/>
      <c r="AM442" s="1" t="s">
        <v>65</v>
      </c>
      <c r="AN442" s="1" t="s">
        <v>378</v>
      </c>
      <c r="AO442" s="1"/>
      <c r="AP442" s="2">
        <v>43809.5824652778</v>
      </c>
      <c r="AQ442" s="1"/>
      <c r="AR442" s="1" t="s">
        <v>280</v>
      </c>
      <c r="AS442" s="1"/>
      <c r="AT442" s="2">
        <v>44269.931099537</v>
      </c>
    </row>
    <row r="443" ht="13.5" customHeight="1">
      <c r="A443" s="1"/>
      <c r="B443" s="1" t="s">
        <v>46</v>
      </c>
      <c r="C443" s="1" t="s">
        <v>47</v>
      </c>
      <c r="D443" s="1"/>
      <c r="E443" s="1" t="s">
        <v>2191</v>
      </c>
      <c r="F443" s="1"/>
      <c r="G443" s="1" t="s">
        <v>49</v>
      </c>
      <c r="H443" s="1" t="s">
        <v>93</v>
      </c>
      <c r="I443" s="1">
        <v>64330.0</v>
      </c>
      <c r="J443" s="1"/>
      <c r="K443" s="1"/>
      <c r="L443" s="1"/>
      <c r="M443" s="1" t="s">
        <v>2192</v>
      </c>
      <c r="N443" s="1" t="s">
        <v>142</v>
      </c>
      <c r="O443" s="1" t="s">
        <v>143</v>
      </c>
      <c r="P443" s="2">
        <v>43809.563912037</v>
      </c>
      <c r="Q443" s="1" t="s">
        <v>373</v>
      </c>
      <c r="R443" s="1"/>
      <c r="S443" s="1"/>
      <c r="T443" s="1">
        <v>3170057.0</v>
      </c>
      <c r="U443" s="1" t="s">
        <v>1741</v>
      </c>
      <c r="V443" s="1" t="s">
        <v>126</v>
      </c>
      <c r="W443" s="1" t="s">
        <v>59</v>
      </c>
      <c r="X443" s="1"/>
      <c r="Y443" s="1"/>
      <c r="Z443" s="1" t="s">
        <v>147</v>
      </c>
      <c r="AA443" s="1" t="s">
        <v>2193</v>
      </c>
      <c r="AB443" s="1" t="str">
        <f>"***659836**"</f>
        <v>***659836**</v>
      </c>
      <c r="AC443" s="1"/>
      <c r="AD443" s="1" t="s">
        <v>116</v>
      </c>
      <c r="AE443" s="1"/>
      <c r="AF443" s="1">
        <v>-42.057499</v>
      </c>
      <c r="AG443" s="1">
        <v>-19.6625</v>
      </c>
      <c r="AH443" s="1" t="s">
        <v>2194</v>
      </c>
      <c r="AI443" s="1"/>
      <c r="AJ443" s="1" t="s">
        <v>1744</v>
      </c>
      <c r="AK443" s="1"/>
      <c r="AL443" s="1"/>
      <c r="AM443" s="1" t="s">
        <v>65</v>
      </c>
      <c r="AN443" s="1" t="s">
        <v>1745</v>
      </c>
      <c r="AO443" s="1"/>
      <c r="AP443" s="2">
        <v>43809.5708217593</v>
      </c>
      <c r="AQ443" s="1"/>
      <c r="AR443" s="1" t="s">
        <v>1794</v>
      </c>
      <c r="AS443" s="1" t="s">
        <v>1747</v>
      </c>
      <c r="AT443" s="2">
        <v>44269.931099537</v>
      </c>
    </row>
    <row r="444" ht="13.5" customHeight="1">
      <c r="A444" s="1"/>
      <c r="B444" s="1" t="s">
        <v>46</v>
      </c>
      <c r="C444" s="1" t="s">
        <v>47</v>
      </c>
      <c r="D444" s="1"/>
      <c r="E444" s="1" t="s">
        <v>2195</v>
      </c>
      <c r="F444" s="1"/>
      <c r="G444" s="1" t="s">
        <v>49</v>
      </c>
      <c r="H444" s="1" t="s">
        <v>93</v>
      </c>
      <c r="I444" s="1">
        <v>52500.0</v>
      </c>
      <c r="J444" s="1"/>
      <c r="K444" s="1" t="s">
        <v>140</v>
      </c>
      <c r="L444" s="1"/>
      <c r="M444" s="1" t="s">
        <v>2196</v>
      </c>
      <c r="N444" s="1" t="s">
        <v>283</v>
      </c>
      <c r="O444" s="1" t="s">
        <v>1133</v>
      </c>
      <c r="P444" s="2">
        <v>43809.5599305556</v>
      </c>
      <c r="Q444" s="1" t="s">
        <v>74</v>
      </c>
      <c r="R444" s="3">
        <v>43809.0</v>
      </c>
      <c r="S444" s="1"/>
      <c r="T444" s="1">
        <v>1100403.0</v>
      </c>
      <c r="U444" s="1" t="s">
        <v>2038</v>
      </c>
      <c r="V444" s="1" t="s">
        <v>448</v>
      </c>
      <c r="W444" s="1" t="s">
        <v>177</v>
      </c>
      <c r="X444" s="1"/>
      <c r="Y444" s="1"/>
      <c r="Z444" s="1" t="s">
        <v>128</v>
      </c>
      <c r="AA444" s="1" t="s">
        <v>2149</v>
      </c>
      <c r="AB444" s="1" t="str">
        <f>"22635807000133"</f>
        <v>22635807000133</v>
      </c>
      <c r="AC444" s="1"/>
      <c r="AD444" s="1" t="s">
        <v>62</v>
      </c>
      <c r="AE444" s="1"/>
      <c r="AF444" s="1">
        <v>-63.333611</v>
      </c>
      <c r="AG444" s="1">
        <v>-9.752222</v>
      </c>
      <c r="AH444" s="1" t="s">
        <v>2197</v>
      </c>
      <c r="AI444" s="1"/>
      <c r="AJ444" s="1" t="s">
        <v>371</v>
      </c>
      <c r="AK444" s="1"/>
      <c r="AL444" s="1"/>
      <c r="AM444" s="1" t="s">
        <v>65</v>
      </c>
      <c r="AN444" s="1" t="s">
        <v>378</v>
      </c>
      <c r="AO444" s="1"/>
      <c r="AP444" s="2">
        <v>43809.5777314815</v>
      </c>
      <c r="AQ444" s="1"/>
      <c r="AR444" s="1" t="s">
        <v>153</v>
      </c>
      <c r="AS444" s="1"/>
      <c r="AT444" s="2">
        <v>44269.931099537</v>
      </c>
    </row>
    <row r="445" ht="13.5" customHeight="1">
      <c r="A445" s="1"/>
      <c r="B445" s="1" t="s">
        <v>46</v>
      </c>
      <c r="C445" s="1" t="s">
        <v>47</v>
      </c>
      <c r="D445" s="1"/>
      <c r="E445" s="1" t="s">
        <v>2198</v>
      </c>
      <c r="F445" s="1"/>
      <c r="G445" s="1" t="s">
        <v>49</v>
      </c>
      <c r="H445" s="1" t="s">
        <v>50</v>
      </c>
      <c r="I445" s="1">
        <v>100000.0</v>
      </c>
      <c r="J445" s="1"/>
      <c r="K445" s="1" t="s">
        <v>51</v>
      </c>
      <c r="L445" s="1"/>
      <c r="M445" s="1" t="s">
        <v>2199</v>
      </c>
      <c r="N445" s="1" t="s">
        <v>283</v>
      </c>
      <c r="O445" s="1" t="s">
        <v>1133</v>
      </c>
      <c r="P445" s="2">
        <v>43809.5589583333</v>
      </c>
      <c r="Q445" s="1" t="s">
        <v>74</v>
      </c>
      <c r="R445" s="1"/>
      <c r="S445" s="1"/>
      <c r="T445" s="1">
        <v>3302403.0</v>
      </c>
      <c r="U445" s="1" t="s">
        <v>1371</v>
      </c>
      <c r="V445" s="1" t="s">
        <v>287</v>
      </c>
      <c r="W445" s="1" t="s">
        <v>288</v>
      </c>
      <c r="X445" s="1"/>
      <c r="Y445" s="1"/>
      <c r="Z445" s="1" t="s">
        <v>128</v>
      </c>
      <c r="AA445" s="1" t="s">
        <v>1449</v>
      </c>
      <c r="AB445" s="1" t="str">
        <f>"33000167100750"</f>
        <v>33000167100750</v>
      </c>
      <c r="AC445" s="1"/>
      <c r="AD445" s="1" t="s">
        <v>149</v>
      </c>
      <c r="AE445" s="1"/>
      <c r="AF445" s="1">
        <v>-40.331665</v>
      </c>
      <c r="AG445" s="1">
        <v>-22.254168</v>
      </c>
      <c r="AH445" s="1" t="s">
        <v>2130</v>
      </c>
      <c r="AI445" s="1"/>
      <c r="AJ445" s="1" t="s">
        <v>172</v>
      </c>
      <c r="AK445" s="1"/>
      <c r="AL445" s="1"/>
      <c r="AM445" s="1" t="s">
        <v>65</v>
      </c>
      <c r="AN445" s="1" t="s">
        <v>720</v>
      </c>
      <c r="AO445" s="1"/>
      <c r="AP445" s="2">
        <v>44013.7185995371</v>
      </c>
      <c r="AQ445" s="1"/>
      <c r="AR445" s="1" t="s">
        <v>1360</v>
      </c>
      <c r="AS445" s="1" t="s">
        <v>1361</v>
      </c>
      <c r="AT445" s="2">
        <v>44269.931099537</v>
      </c>
    </row>
    <row r="446" ht="13.5" customHeight="1">
      <c r="A446" s="1"/>
      <c r="B446" s="1" t="s">
        <v>46</v>
      </c>
      <c r="C446" s="1" t="s">
        <v>47</v>
      </c>
      <c r="D446" s="1"/>
      <c r="E446" s="1" t="s">
        <v>2200</v>
      </c>
      <c r="F446" s="1"/>
      <c r="G446" s="1" t="s">
        <v>49</v>
      </c>
      <c r="H446" s="1" t="s">
        <v>93</v>
      </c>
      <c r="I446" s="1">
        <v>1300.0</v>
      </c>
      <c r="J446" s="1"/>
      <c r="K446" s="1" t="s">
        <v>51</v>
      </c>
      <c r="L446" s="1"/>
      <c r="M446" s="1" t="s">
        <v>2201</v>
      </c>
      <c r="N446" s="1" t="s">
        <v>123</v>
      </c>
      <c r="O446" s="1" t="s">
        <v>73</v>
      </c>
      <c r="P446" s="2">
        <v>43809.5566435185</v>
      </c>
      <c r="Q446" s="1" t="s">
        <v>74</v>
      </c>
      <c r="R446" s="3">
        <v>43815.0</v>
      </c>
      <c r="S446" s="1"/>
      <c r="T446" s="1">
        <v>3509502.0</v>
      </c>
      <c r="U446" s="1" t="s">
        <v>97</v>
      </c>
      <c r="V446" s="1" t="s">
        <v>58</v>
      </c>
      <c r="W446" s="1" t="s">
        <v>59</v>
      </c>
      <c r="X446" s="1"/>
      <c r="Y446" s="1"/>
      <c r="Z446" s="1" t="s">
        <v>76</v>
      </c>
      <c r="AA446" s="1" t="s">
        <v>2202</v>
      </c>
      <c r="AB446" s="1" t="str">
        <f>"48031918001872"</f>
        <v>48031918001872</v>
      </c>
      <c r="AC446" s="1"/>
      <c r="AD446" s="1" t="s">
        <v>62</v>
      </c>
      <c r="AE446" s="1"/>
      <c r="AF446" s="1">
        <v>-47.144169</v>
      </c>
      <c r="AG446" s="1">
        <v>-23.007778</v>
      </c>
      <c r="AH446" s="1" t="s">
        <v>2203</v>
      </c>
      <c r="AI446" s="1"/>
      <c r="AJ446" s="1" t="s">
        <v>101</v>
      </c>
      <c r="AK446" s="1"/>
      <c r="AL446" s="1"/>
      <c r="AM446" s="1" t="s">
        <v>65</v>
      </c>
      <c r="AN446" s="1" t="s">
        <v>102</v>
      </c>
      <c r="AO446" s="1"/>
      <c r="AP446" s="2">
        <v>43809.5592361111</v>
      </c>
      <c r="AQ446" s="1"/>
      <c r="AR446" s="1" t="s">
        <v>899</v>
      </c>
      <c r="AS446" s="1"/>
      <c r="AT446" s="2">
        <v>44269.931099537</v>
      </c>
    </row>
    <row r="447" ht="13.5" customHeight="1">
      <c r="A447" s="1"/>
      <c r="B447" s="1" t="s">
        <v>46</v>
      </c>
      <c r="C447" s="1" t="s">
        <v>47</v>
      </c>
      <c r="D447" s="1"/>
      <c r="E447" s="1" t="s">
        <v>2204</v>
      </c>
      <c r="F447" s="1"/>
      <c r="G447" s="1" t="s">
        <v>49</v>
      </c>
      <c r="H447" s="1" t="s">
        <v>93</v>
      </c>
      <c r="I447" s="1">
        <v>50000.0</v>
      </c>
      <c r="J447" s="1"/>
      <c r="K447" s="1"/>
      <c r="L447" s="1"/>
      <c r="M447" s="1" t="s">
        <v>2205</v>
      </c>
      <c r="N447" s="1" t="s">
        <v>142</v>
      </c>
      <c r="O447" s="1" t="s">
        <v>143</v>
      </c>
      <c r="P447" s="2">
        <v>43809.5551157407</v>
      </c>
      <c r="Q447" s="1" t="s">
        <v>373</v>
      </c>
      <c r="R447" s="1"/>
      <c r="S447" s="1"/>
      <c r="T447" s="1">
        <v>5108956.0</v>
      </c>
      <c r="U447" s="1" t="s">
        <v>2206</v>
      </c>
      <c r="V447" s="1" t="s">
        <v>164</v>
      </c>
      <c r="W447" s="1" t="s">
        <v>177</v>
      </c>
      <c r="X447" s="1"/>
      <c r="Y447" s="1"/>
      <c r="Z447" s="1" t="s">
        <v>147</v>
      </c>
      <c r="AA447" s="1" t="s">
        <v>2207</v>
      </c>
      <c r="AB447" s="1" t="str">
        <f>"***602241**"</f>
        <v>***602241**</v>
      </c>
      <c r="AC447" s="1"/>
      <c r="AD447" s="1" t="s">
        <v>116</v>
      </c>
      <c r="AE447" s="1"/>
      <c r="AF447" s="1">
        <v>-57.266109</v>
      </c>
      <c r="AG447" s="1">
        <v>-10.211389</v>
      </c>
      <c r="AH447" s="1" t="s">
        <v>2208</v>
      </c>
      <c r="AI447" s="1"/>
      <c r="AJ447" s="1" t="s">
        <v>172</v>
      </c>
      <c r="AK447" s="1"/>
      <c r="AL447" s="1"/>
      <c r="AM447" s="1" t="s">
        <v>65</v>
      </c>
      <c r="AN447" s="1" t="s">
        <v>1703</v>
      </c>
      <c r="AO447" s="1"/>
      <c r="AP447" s="2">
        <v>43809.5652314815</v>
      </c>
      <c r="AQ447" s="1"/>
      <c r="AR447" s="1" t="s">
        <v>2209</v>
      </c>
      <c r="AS447" s="1" t="s">
        <v>2210</v>
      </c>
      <c r="AT447" s="2">
        <v>44269.931099537</v>
      </c>
    </row>
    <row r="448" ht="13.5" customHeight="1">
      <c r="A448" s="1"/>
      <c r="B448" s="1" t="s">
        <v>46</v>
      </c>
      <c r="C448" s="1" t="s">
        <v>47</v>
      </c>
      <c r="D448" s="1"/>
      <c r="E448" s="1" t="s">
        <v>2211</v>
      </c>
      <c r="F448" s="1"/>
      <c r="G448" s="1" t="s">
        <v>49</v>
      </c>
      <c r="H448" s="1" t="s">
        <v>93</v>
      </c>
      <c r="I448" s="1">
        <v>4500.0</v>
      </c>
      <c r="J448" s="1"/>
      <c r="K448" s="1" t="s">
        <v>51</v>
      </c>
      <c r="L448" s="1"/>
      <c r="M448" s="1" t="s">
        <v>2212</v>
      </c>
      <c r="N448" s="1" t="s">
        <v>123</v>
      </c>
      <c r="O448" s="1" t="s">
        <v>73</v>
      </c>
      <c r="P448" s="2">
        <v>43809.5495138889</v>
      </c>
      <c r="Q448" s="1" t="s">
        <v>74</v>
      </c>
      <c r="R448" s="3">
        <v>43815.0</v>
      </c>
      <c r="S448" s="1"/>
      <c r="T448" s="1">
        <v>3509502.0</v>
      </c>
      <c r="U448" s="1" t="s">
        <v>97</v>
      </c>
      <c r="V448" s="1" t="s">
        <v>58</v>
      </c>
      <c r="W448" s="1" t="s">
        <v>59</v>
      </c>
      <c r="X448" s="1"/>
      <c r="Y448" s="1"/>
      <c r="Z448" s="1" t="s">
        <v>76</v>
      </c>
      <c r="AA448" s="1" t="s">
        <v>2202</v>
      </c>
      <c r="AB448" s="1" t="str">
        <f>"48031918001872"</f>
        <v>48031918001872</v>
      </c>
      <c r="AC448" s="1"/>
      <c r="AD448" s="1" t="s">
        <v>62</v>
      </c>
      <c r="AE448" s="1"/>
      <c r="AF448" s="1">
        <v>-47.144169</v>
      </c>
      <c r="AG448" s="1">
        <v>-23.007778</v>
      </c>
      <c r="AH448" s="1" t="s">
        <v>2213</v>
      </c>
      <c r="AI448" s="1"/>
      <c r="AJ448" s="1" t="s">
        <v>101</v>
      </c>
      <c r="AK448" s="1"/>
      <c r="AL448" s="1"/>
      <c r="AM448" s="1" t="s">
        <v>65</v>
      </c>
      <c r="AN448" s="1" t="s">
        <v>102</v>
      </c>
      <c r="AO448" s="1"/>
      <c r="AP448" s="2">
        <v>43809.5521180556</v>
      </c>
      <c r="AQ448" s="1"/>
      <c r="AR448" s="1" t="s">
        <v>153</v>
      </c>
      <c r="AS448" s="1"/>
      <c r="AT448" s="2">
        <v>44269.931099537</v>
      </c>
    </row>
    <row r="449" ht="13.5" customHeight="1">
      <c r="A449" s="1"/>
      <c r="B449" s="1" t="s">
        <v>46</v>
      </c>
      <c r="C449" s="1" t="s">
        <v>47</v>
      </c>
      <c r="D449" s="1"/>
      <c r="E449" s="1" t="s">
        <v>2214</v>
      </c>
      <c r="F449" s="1"/>
      <c r="G449" s="1" t="s">
        <v>49</v>
      </c>
      <c r="H449" s="1" t="s">
        <v>93</v>
      </c>
      <c r="I449" s="1">
        <v>130000.0</v>
      </c>
      <c r="J449" s="1"/>
      <c r="K449" s="1"/>
      <c r="L449" s="1"/>
      <c r="M449" s="1" t="s">
        <v>2215</v>
      </c>
      <c r="N449" s="1" t="s">
        <v>142</v>
      </c>
      <c r="O449" s="1" t="s">
        <v>143</v>
      </c>
      <c r="P449" s="2">
        <v>43809.5492939815</v>
      </c>
      <c r="Q449" s="1" t="s">
        <v>74</v>
      </c>
      <c r="R449" s="1"/>
      <c r="S449" s="1"/>
      <c r="T449" s="1">
        <v>1504752.0</v>
      </c>
      <c r="U449" s="1" t="s">
        <v>2043</v>
      </c>
      <c r="V449" s="1" t="s">
        <v>193</v>
      </c>
      <c r="W449" s="1" t="s">
        <v>177</v>
      </c>
      <c r="X449" s="1"/>
      <c r="Y449" s="1"/>
      <c r="Z449" s="1" t="s">
        <v>147</v>
      </c>
      <c r="AA449" s="1" t="s">
        <v>2216</v>
      </c>
      <c r="AB449" s="1" t="str">
        <f>"***534909**"</f>
        <v>***534909**</v>
      </c>
      <c r="AC449" s="1"/>
      <c r="AD449" s="1" t="s">
        <v>116</v>
      </c>
      <c r="AE449" s="1"/>
      <c r="AF449" s="1">
        <v>-54.731667</v>
      </c>
      <c r="AG449" s="1">
        <v>-2.421389</v>
      </c>
      <c r="AH449" s="1" t="s">
        <v>2217</v>
      </c>
      <c r="AI449" s="1"/>
      <c r="AJ449" s="1" t="s">
        <v>172</v>
      </c>
      <c r="AK449" s="1"/>
      <c r="AL449" s="1"/>
      <c r="AM449" s="1" t="s">
        <v>65</v>
      </c>
      <c r="AN449" s="1" t="s">
        <v>1395</v>
      </c>
      <c r="AO449" s="1"/>
      <c r="AP449" s="2">
        <v>43809.5721990741</v>
      </c>
      <c r="AQ449" s="1"/>
      <c r="AR449" s="1" t="s">
        <v>871</v>
      </c>
      <c r="AS449" s="1"/>
      <c r="AT449" s="2">
        <v>44269.931099537</v>
      </c>
    </row>
    <row r="450" ht="13.5" customHeight="1">
      <c r="A450" s="1"/>
      <c r="B450" s="1" t="s">
        <v>46</v>
      </c>
      <c r="C450" s="1" t="s">
        <v>47</v>
      </c>
      <c r="D450" s="1"/>
      <c r="E450" s="1" t="s">
        <v>2218</v>
      </c>
      <c r="F450" s="1"/>
      <c r="G450" s="1" t="s">
        <v>49</v>
      </c>
      <c r="H450" s="1" t="s">
        <v>93</v>
      </c>
      <c r="I450" s="1">
        <v>290000.0</v>
      </c>
      <c r="J450" s="1"/>
      <c r="K450" s="1"/>
      <c r="L450" s="1"/>
      <c r="M450" s="1" t="s">
        <v>2219</v>
      </c>
      <c r="N450" s="1" t="s">
        <v>142</v>
      </c>
      <c r="O450" s="1" t="s">
        <v>143</v>
      </c>
      <c r="P450" s="2">
        <v>43809.5484722222</v>
      </c>
      <c r="Q450" s="1" t="s">
        <v>74</v>
      </c>
      <c r="R450" s="3">
        <v>43810.0</v>
      </c>
      <c r="S450" s="1"/>
      <c r="T450" s="1">
        <v>1501451.0</v>
      </c>
      <c r="U450" s="1" t="s">
        <v>2220</v>
      </c>
      <c r="V450" s="1" t="s">
        <v>193</v>
      </c>
      <c r="W450" s="1" t="s">
        <v>177</v>
      </c>
      <c r="X450" s="1"/>
      <c r="Y450" s="1"/>
      <c r="Z450" s="1" t="s">
        <v>147</v>
      </c>
      <c r="AA450" s="1" t="s">
        <v>2221</v>
      </c>
      <c r="AB450" s="1" t="str">
        <f>"***245112**"</f>
        <v>***245112**</v>
      </c>
      <c r="AC450" s="1">
        <v>0.0</v>
      </c>
      <c r="AD450" s="1" t="s">
        <v>116</v>
      </c>
      <c r="AE450" s="1"/>
      <c r="AF450" s="1">
        <v>-54.862499</v>
      </c>
      <c r="AG450" s="1">
        <v>-3.087778</v>
      </c>
      <c r="AH450" s="1" t="s">
        <v>2222</v>
      </c>
      <c r="AI450" s="1"/>
      <c r="AJ450" s="1" t="s">
        <v>172</v>
      </c>
      <c r="AK450" s="1"/>
      <c r="AL450" s="1"/>
      <c r="AM450" s="1" t="s">
        <v>65</v>
      </c>
      <c r="AN450" s="1" t="s">
        <v>1395</v>
      </c>
      <c r="AO450" s="1"/>
      <c r="AP450" s="2">
        <v>43809.6043634259</v>
      </c>
      <c r="AQ450" s="1"/>
      <c r="AR450" s="1" t="s">
        <v>644</v>
      </c>
      <c r="AS450" s="1"/>
      <c r="AT450" s="2">
        <v>44269.931099537</v>
      </c>
    </row>
    <row r="451" ht="13.5" customHeight="1">
      <c r="A451" s="1"/>
      <c r="B451" s="1" t="s">
        <v>46</v>
      </c>
      <c r="C451" s="1" t="s">
        <v>47</v>
      </c>
      <c r="D451" s="1"/>
      <c r="E451" s="1" t="s">
        <v>2223</v>
      </c>
      <c r="F451" s="1"/>
      <c r="G451" s="1" t="s">
        <v>49</v>
      </c>
      <c r="H451" s="1" t="s">
        <v>93</v>
      </c>
      <c r="I451" s="1">
        <v>8283.0</v>
      </c>
      <c r="J451" s="1"/>
      <c r="K451" s="1"/>
      <c r="L451" s="1"/>
      <c r="M451" s="1" t="s">
        <v>2224</v>
      </c>
      <c r="N451" s="1" t="s">
        <v>142</v>
      </c>
      <c r="O451" s="1" t="s">
        <v>143</v>
      </c>
      <c r="P451" s="2">
        <v>43809.5464930556</v>
      </c>
      <c r="Q451" s="1" t="s">
        <v>74</v>
      </c>
      <c r="R451" s="3">
        <v>43809.0</v>
      </c>
      <c r="S451" s="1"/>
      <c r="T451" s="1">
        <v>1100403.0</v>
      </c>
      <c r="U451" s="1" t="s">
        <v>2038</v>
      </c>
      <c r="V451" s="1" t="s">
        <v>448</v>
      </c>
      <c r="W451" s="1" t="s">
        <v>177</v>
      </c>
      <c r="X451" s="1"/>
      <c r="Y451" s="1"/>
      <c r="Z451" s="1" t="s">
        <v>147</v>
      </c>
      <c r="AA451" s="1" t="s">
        <v>2225</v>
      </c>
      <c r="AB451" s="1" t="str">
        <f>"22635807000133"</f>
        <v>22635807000133</v>
      </c>
      <c r="AC451" s="1"/>
      <c r="AD451" s="1" t="s">
        <v>62</v>
      </c>
      <c r="AE451" s="1"/>
      <c r="AF451" s="1">
        <v>-63.333611</v>
      </c>
      <c r="AG451" s="1">
        <v>-9.752222</v>
      </c>
      <c r="AH451" s="1" t="s">
        <v>2226</v>
      </c>
      <c r="AI451" s="1"/>
      <c r="AJ451" s="1" t="s">
        <v>371</v>
      </c>
      <c r="AK451" s="1"/>
      <c r="AL451" s="1"/>
      <c r="AM451" s="1" t="s">
        <v>65</v>
      </c>
      <c r="AN451" s="1" t="s">
        <v>378</v>
      </c>
      <c r="AO451" s="1"/>
      <c r="AP451" s="2">
        <v>43809.5557060185</v>
      </c>
      <c r="AQ451" s="1"/>
      <c r="AR451" s="1" t="s">
        <v>613</v>
      </c>
      <c r="AS451" s="1"/>
      <c r="AT451" s="2">
        <v>44269.931099537</v>
      </c>
    </row>
    <row r="452" ht="13.5" customHeight="1">
      <c r="A452" s="1"/>
      <c r="B452" s="1" t="s">
        <v>46</v>
      </c>
      <c r="C452" s="1" t="s">
        <v>47</v>
      </c>
      <c r="D452" s="1"/>
      <c r="E452" s="1" t="s">
        <v>2227</v>
      </c>
      <c r="F452" s="1"/>
      <c r="G452" s="1" t="s">
        <v>49</v>
      </c>
      <c r="H452" s="1" t="s">
        <v>93</v>
      </c>
      <c r="I452" s="1">
        <v>10000.0</v>
      </c>
      <c r="J452" s="1"/>
      <c r="K452" s="1" t="s">
        <v>51</v>
      </c>
      <c r="L452" s="1"/>
      <c r="M452" s="1" t="s">
        <v>2228</v>
      </c>
      <c r="N452" s="1" t="s">
        <v>72</v>
      </c>
      <c r="O452" s="1" t="s">
        <v>1364</v>
      </c>
      <c r="P452" s="2">
        <v>43809.5441898148</v>
      </c>
      <c r="Q452" s="1" t="s">
        <v>55</v>
      </c>
      <c r="R452" s="1"/>
      <c r="S452" s="1"/>
      <c r="T452" s="1">
        <v>2508901.0</v>
      </c>
      <c r="U452" s="1" t="s">
        <v>2229</v>
      </c>
      <c r="V452" s="1" t="s">
        <v>728</v>
      </c>
      <c r="W452" s="1" t="s">
        <v>59</v>
      </c>
      <c r="X452" s="1"/>
      <c r="Y452" s="1"/>
      <c r="Z452" s="1"/>
      <c r="AA452" s="1" t="s">
        <v>2230</v>
      </c>
      <c r="AB452" s="1" t="str">
        <f>"09094632000217"</f>
        <v>09094632000217</v>
      </c>
      <c r="AC452" s="1"/>
      <c r="AD452" s="1" t="s">
        <v>62</v>
      </c>
      <c r="AE452" s="1"/>
      <c r="AF452" s="1">
        <v>-35.247498</v>
      </c>
      <c r="AG452" s="1">
        <v>-6.952222</v>
      </c>
      <c r="AH452" s="1" t="s">
        <v>2230</v>
      </c>
      <c r="AI452" s="1"/>
      <c r="AJ452" s="1" t="s">
        <v>731</v>
      </c>
      <c r="AK452" s="1"/>
      <c r="AL452" s="1"/>
      <c r="AM452" s="1" t="s">
        <v>65</v>
      </c>
      <c r="AN452" s="1" t="s">
        <v>1551</v>
      </c>
      <c r="AO452" s="1"/>
      <c r="AP452" s="2">
        <v>43809.5586111111</v>
      </c>
      <c r="AQ452" s="1"/>
      <c r="AR452" s="1" t="s">
        <v>1756</v>
      </c>
      <c r="AS452" s="1" t="s">
        <v>2231</v>
      </c>
      <c r="AT452" s="2">
        <v>44269.931099537</v>
      </c>
    </row>
    <row r="453" ht="13.5" customHeight="1">
      <c r="A453" s="1">
        <v>2034673.0</v>
      </c>
      <c r="B453" s="1" t="s">
        <v>67</v>
      </c>
      <c r="C453" s="1" t="s">
        <v>68</v>
      </c>
      <c r="D453" s="1" t="s">
        <v>46</v>
      </c>
      <c r="E453" s="1" t="s">
        <v>2232</v>
      </c>
      <c r="F453" s="1"/>
      <c r="G453" s="1" t="s">
        <v>70</v>
      </c>
      <c r="H453" s="1" t="s">
        <v>93</v>
      </c>
      <c r="I453" s="1">
        <v>2000.0</v>
      </c>
      <c r="J453" s="1"/>
      <c r="K453" s="1"/>
      <c r="L453" s="1" t="s">
        <v>264</v>
      </c>
      <c r="M453" s="1" t="s">
        <v>2233</v>
      </c>
      <c r="N453" s="1" t="s">
        <v>95</v>
      </c>
      <c r="O453" s="1" t="s">
        <v>96</v>
      </c>
      <c r="P453" s="2">
        <v>43809.5416666667</v>
      </c>
      <c r="Q453" s="1" t="s">
        <v>74</v>
      </c>
      <c r="R453" s="3">
        <v>43817.0</v>
      </c>
      <c r="S453" s="1"/>
      <c r="T453" s="1">
        <v>4208203.0</v>
      </c>
      <c r="U453" s="1" t="s">
        <v>735</v>
      </c>
      <c r="V453" s="1" t="s">
        <v>267</v>
      </c>
      <c r="W453" s="1" t="s">
        <v>59</v>
      </c>
      <c r="X453" s="1"/>
      <c r="Y453" s="1" t="str">
        <f>"02026000079202068"</f>
        <v>02026000079202068</v>
      </c>
      <c r="Z453" s="1" t="s">
        <v>98</v>
      </c>
      <c r="AA453" s="1" t="s">
        <v>2087</v>
      </c>
      <c r="AB453" s="1" t="str">
        <f>"***414449**"</f>
        <v>***414449**</v>
      </c>
      <c r="AC453" s="1"/>
      <c r="AD453" s="1"/>
      <c r="AE453" s="1"/>
      <c r="AF453" s="1">
        <v>-48.781944</v>
      </c>
      <c r="AG453" s="1">
        <v>-27.045279</v>
      </c>
      <c r="AH453" s="1" t="s">
        <v>2234</v>
      </c>
      <c r="AI453" s="1"/>
      <c r="AJ453" s="1" t="s">
        <v>264</v>
      </c>
      <c r="AK453" s="1"/>
      <c r="AL453" s="1" t="s">
        <v>79</v>
      </c>
      <c r="AM453" s="1" t="s">
        <v>65</v>
      </c>
      <c r="AN453" s="1" t="s">
        <v>152</v>
      </c>
      <c r="AO453" s="2">
        <v>43889.0</v>
      </c>
      <c r="AP453" s="2">
        <v>43889.5256481482</v>
      </c>
      <c r="AQ453" s="1" t="s">
        <v>80</v>
      </c>
      <c r="AR453" s="1" t="s">
        <v>599</v>
      </c>
      <c r="AS453" s="1"/>
      <c r="AT453" s="2">
        <v>44269.931099537</v>
      </c>
    </row>
    <row r="454" ht="13.5" customHeight="1">
      <c r="A454" s="1">
        <v>2034711.0</v>
      </c>
      <c r="B454" s="1" t="s">
        <v>67</v>
      </c>
      <c r="C454" s="1" t="s">
        <v>68</v>
      </c>
      <c r="D454" s="1" t="s">
        <v>46</v>
      </c>
      <c r="E454" s="1" t="s">
        <v>2235</v>
      </c>
      <c r="F454" s="1"/>
      <c r="G454" s="1" t="s">
        <v>70</v>
      </c>
      <c r="H454" s="1" t="s">
        <v>50</v>
      </c>
      <c r="I454" s="1">
        <v>500.0</v>
      </c>
      <c r="J454" s="1"/>
      <c r="K454" s="1"/>
      <c r="L454" s="1" t="s">
        <v>64</v>
      </c>
      <c r="M454" s="1" t="s">
        <v>2236</v>
      </c>
      <c r="N454" s="1" t="s">
        <v>95</v>
      </c>
      <c r="O454" s="1" t="s">
        <v>96</v>
      </c>
      <c r="P454" s="2">
        <v>43809.5416666667</v>
      </c>
      <c r="Q454" s="1" t="s">
        <v>74</v>
      </c>
      <c r="R454" s="3">
        <v>43808.0</v>
      </c>
      <c r="S454" s="1"/>
      <c r="T454" s="1">
        <v>3549805.0</v>
      </c>
      <c r="U454" s="1" t="s">
        <v>1927</v>
      </c>
      <c r="V454" s="1" t="s">
        <v>58</v>
      </c>
      <c r="W454" s="1" t="s">
        <v>59</v>
      </c>
      <c r="X454" s="1"/>
      <c r="Y454" s="1" t="str">
        <f>"02027021745201958"</f>
        <v>02027021745201958</v>
      </c>
      <c r="Z454" s="1" t="s">
        <v>98</v>
      </c>
      <c r="AA454" s="1" t="s">
        <v>2237</v>
      </c>
      <c r="AB454" s="1" t="str">
        <f>"***764128**"</f>
        <v>***764128**</v>
      </c>
      <c r="AC454" s="1"/>
      <c r="AD454" s="1"/>
      <c r="AE454" s="1"/>
      <c r="AF454" s="1">
        <v>-49.355278</v>
      </c>
      <c r="AG454" s="1">
        <v>-20.791666</v>
      </c>
      <c r="AH454" s="1" t="s">
        <v>2238</v>
      </c>
      <c r="AI454" s="1"/>
      <c r="AJ454" s="1" t="s">
        <v>64</v>
      </c>
      <c r="AK454" s="1"/>
      <c r="AL454" s="1" t="s">
        <v>79</v>
      </c>
      <c r="AM454" s="1" t="s">
        <v>65</v>
      </c>
      <c r="AN454" s="1"/>
      <c r="AO454" s="2">
        <v>43889.0</v>
      </c>
      <c r="AP454" s="2">
        <v>43889.5921643519</v>
      </c>
      <c r="AQ454" s="1" t="s">
        <v>80</v>
      </c>
      <c r="AR454" s="1" t="s">
        <v>593</v>
      </c>
      <c r="AS454" s="1"/>
      <c r="AT454" s="2">
        <v>44269.931099537</v>
      </c>
    </row>
    <row r="455" ht="13.5" customHeight="1">
      <c r="A455" s="1"/>
      <c r="B455" s="1" t="s">
        <v>46</v>
      </c>
      <c r="C455" s="1" t="s">
        <v>47</v>
      </c>
      <c r="D455" s="1"/>
      <c r="E455" s="1" t="s">
        <v>2239</v>
      </c>
      <c r="F455" s="1"/>
      <c r="G455" s="1" t="s">
        <v>49</v>
      </c>
      <c r="H455" s="1" t="s">
        <v>93</v>
      </c>
      <c r="I455" s="1">
        <v>4500.0</v>
      </c>
      <c r="J455" s="1"/>
      <c r="K455" s="1" t="s">
        <v>51</v>
      </c>
      <c r="L455" s="1"/>
      <c r="M455" s="1" t="s">
        <v>2240</v>
      </c>
      <c r="N455" s="1" t="s">
        <v>123</v>
      </c>
      <c r="O455" s="1" t="s">
        <v>73</v>
      </c>
      <c r="P455" s="2">
        <v>43809.5398842593</v>
      </c>
      <c r="Q455" s="1" t="s">
        <v>74</v>
      </c>
      <c r="R455" s="3">
        <v>43815.0</v>
      </c>
      <c r="S455" s="1"/>
      <c r="T455" s="1">
        <v>3509502.0</v>
      </c>
      <c r="U455" s="1" t="s">
        <v>97</v>
      </c>
      <c r="V455" s="1" t="s">
        <v>58</v>
      </c>
      <c r="W455" s="1" t="s">
        <v>59</v>
      </c>
      <c r="X455" s="1"/>
      <c r="Y455" s="1"/>
      <c r="Z455" s="1" t="s">
        <v>76</v>
      </c>
      <c r="AA455" s="1" t="s">
        <v>2202</v>
      </c>
      <c r="AB455" s="1" t="str">
        <f>"48031918001872"</f>
        <v>48031918001872</v>
      </c>
      <c r="AC455" s="1"/>
      <c r="AD455" s="1" t="s">
        <v>62</v>
      </c>
      <c r="AE455" s="1"/>
      <c r="AF455" s="1">
        <v>-47.144169</v>
      </c>
      <c r="AG455" s="1">
        <v>-23.007778</v>
      </c>
      <c r="AH455" s="1" t="s">
        <v>2241</v>
      </c>
      <c r="AI455" s="1"/>
      <c r="AJ455" s="1" t="s">
        <v>101</v>
      </c>
      <c r="AK455" s="1"/>
      <c r="AL455" s="1"/>
      <c r="AM455" s="1" t="s">
        <v>65</v>
      </c>
      <c r="AN455" s="1" t="s">
        <v>102</v>
      </c>
      <c r="AO455" s="1"/>
      <c r="AP455" s="2">
        <v>43809.5440625</v>
      </c>
      <c r="AQ455" s="1"/>
      <c r="AR455" s="1" t="s">
        <v>153</v>
      </c>
      <c r="AS455" s="1"/>
      <c r="AT455" s="2">
        <v>44269.931099537</v>
      </c>
    </row>
    <row r="456" ht="13.5" customHeight="1">
      <c r="A456" s="1"/>
      <c r="B456" s="1" t="s">
        <v>46</v>
      </c>
      <c r="C456" s="1" t="s">
        <v>47</v>
      </c>
      <c r="D456" s="1"/>
      <c r="E456" s="1" t="s">
        <v>2242</v>
      </c>
      <c r="F456" s="1"/>
      <c r="G456" s="1" t="s">
        <v>49</v>
      </c>
      <c r="H456" s="1" t="s">
        <v>93</v>
      </c>
      <c r="I456" s="1">
        <v>9240.0</v>
      </c>
      <c r="J456" s="1"/>
      <c r="K456" s="1"/>
      <c r="L456" s="1"/>
      <c r="M456" s="1" t="s">
        <v>2243</v>
      </c>
      <c r="N456" s="1" t="s">
        <v>142</v>
      </c>
      <c r="O456" s="1" t="s">
        <v>143</v>
      </c>
      <c r="P456" s="2">
        <v>43809.5250810185</v>
      </c>
      <c r="Q456" s="1" t="s">
        <v>373</v>
      </c>
      <c r="R456" s="1"/>
      <c r="S456" s="1"/>
      <c r="T456" s="1">
        <v>3170057.0</v>
      </c>
      <c r="U456" s="1" t="s">
        <v>1741</v>
      </c>
      <c r="V456" s="1" t="s">
        <v>126</v>
      </c>
      <c r="W456" s="1" t="s">
        <v>59</v>
      </c>
      <c r="X456" s="1"/>
      <c r="Y456" s="1"/>
      <c r="Z456" s="1" t="s">
        <v>147</v>
      </c>
      <c r="AA456" s="1" t="s">
        <v>2193</v>
      </c>
      <c r="AB456" s="1" t="str">
        <f>"***659836**"</f>
        <v>***659836**</v>
      </c>
      <c r="AC456" s="1"/>
      <c r="AD456" s="1" t="s">
        <v>116</v>
      </c>
      <c r="AE456" s="1"/>
      <c r="AF456" s="1">
        <v>-42.056942</v>
      </c>
      <c r="AG456" s="1">
        <v>-19.6625</v>
      </c>
      <c r="AH456" s="1" t="s">
        <v>2194</v>
      </c>
      <c r="AI456" s="1"/>
      <c r="AJ456" s="1" t="s">
        <v>1744</v>
      </c>
      <c r="AK456" s="1"/>
      <c r="AL456" s="1"/>
      <c r="AM456" s="1" t="s">
        <v>65</v>
      </c>
      <c r="AN456" s="1" t="s">
        <v>1745</v>
      </c>
      <c r="AO456" s="1"/>
      <c r="AP456" s="2">
        <v>43809.5437962963</v>
      </c>
      <c r="AQ456" s="1"/>
      <c r="AR456" s="1" t="s">
        <v>1794</v>
      </c>
      <c r="AS456" s="1" t="s">
        <v>2244</v>
      </c>
      <c r="AT456" s="2">
        <v>44269.931099537</v>
      </c>
    </row>
    <row r="457" ht="13.5" customHeight="1">
      <c r="A457" s="1"/>
      <c r="B457" s="1" t="s">
        <v>46</v>
      </c>
      <c r="C457" s="1" t="s">
        <v>47</v>
      </c>
      <c r="D457" s="1"/>
      <c r="E457" s="1" t="s">
        <v>2245</v>
      </c>
      <c r="F457" s="1"/>
      <c r="G457" s="1" t="s">
        <v>49</v>
      </c>
      <c r="H457" s="1" t="s">
        <v>93</v>
      </c>
      <c r="I457" s="1">
        <v>52500.0</v>
      </c>
      <c r="J457" s="1"/>
      <c r="K457" s="1" t="s">
        <v>140</v>
      </c>
      <c r="L457" s="1"/>
      <c r="M457" s="1" t="s">
        <v>2246</v>
      </c>
      <c r="N457" s="1" t="s">
        <v>283</v>
      </c>
      <c r="O457" s="1" t="s">
        <v>1133</v>
      </c>
      <c r="P457" s="2">
        <v>43809.5245138889</v>
      </c>
      <c r="Q457" s="1" t="s">
        <v>74</v>
      </c>
      <c r="R457" s="3">
        <v>43809.0</v>
      </c>
      <c r="S457" s="1"/>
      <c r="T457" s="1">
        <v>1100403.0</v>
      </c>
      <c r="U457" s="1" t="s">
        <v>2038</v>
      </c>
      <c r="V457" s="1" t="s">
        <v>448</v>
      </c>
      <c r="W457" s="1" t="s">
        <v>177</v>
      </c>
      <c r="X457" s="1"/>
      <c r="Y457" s="1"/>
      <c r="Z457" s="1" t="s">
        <v>128</v>
      </c>
      <c r="AA457" s="1" t="s">
        <v>2247</v>
      </c>
      <c r="AB457" s="1" t="str">
        <f>"22635807000133"</f>
        <v>22635807000133</v>
      </c>
      <c r="AC457" s="1"/>
      <c r="AD457" s="1" t="s">
        <v>62</v>
      </c>
      <c r="AE457" s="1"/>
      <c r="AF457" s="1">
        <v>-63.333611</v>
      </c>
      <c r="AG457" s="1">
        <v>-9.752222</v>
      </c>
      <c r="AH457" s="1" t="s">
        <v>2226</v>
      </c>
      <c r="AI457" s="1"/>
      <c r="AJ457" s="1" t="s">
        <v>371</v>
      </c>
      <c r="AK457" s="1"/>
      <c r="AL457" s="1"/>
      <c r="AM457" s="1" t="s">
        <v>65</v>
      </c>
      <c r="AN457" s="1" t="s">
        <v>378</v>
      </c>
      <c r="AO457" s="1"/>
      <c r="AP457" s="2">
        <v>43809.538125</v>
      </c>
      <c r="AQ457" s="1"/>
      <c r="AR457" s="1" t="s">
        <v>153</v>
      </c>
      <c r="AS457" s="1"/>
      <c r="AT457" s="2">
        <v>44269.931099537</v>
      </c>
    </row>
    <row r="458" ht="13.5" customHeight="1">
      <c r="A458" s="1"/>
      <c r="B458" s="1" t="s">
        <v>46</v>
      </c>
      <c r="C458" s="1" t="s">
        <v>47</v>
      </c>
      <c r="D458" s="1"/>
      <c r="E458" s="1" t="s">
        <v>2248</v>
      </c>
      <c r="F458" s="1"/>
      <c r="G458" s="1" t="s">
        <v>49</v>
      </c>
      <c r="H458" s="1" t="s">
        <v>93</v>
      </c>
      <c r="I458" s="1">
        <v>535000.0</v>
      </c>
      <c r="J458" s="1"/>
      <c r="K458" s="1"/>
      <c r="L458" s="1"/>
      <c r="M458" s="1" t="s">
        <v>2249</v>
      </c>
      <c r="N458" s="1" t="s">
        <v>142</v>
      </c>
      <c r="O458" s="1" t="s">
        <v>143</v>
      </c>
      <c r="P458" s="2">
        <v>43809.5127662037</v>
      </c>
      <c r="Q458" s="1" t="s">
        <v>373</v>
      </c>
      <c r="R458" s="1"/>
      <c r="S458" s="1"/>
      <c r="T458" s="1">
        <v>5108956.0</v>
      </c>
      <c r="U458" s="1" t="s">
        <v>2206</v>
      </c>
      <c r="V458" s="1" t="s">
        <v>164</v>
      </c>
      <c r="W458" s="1" t="s">
        <v>177</v>
      </c>
      <c r="X458" s="1"/>
      <c r="Y458" s="1"/>
      <c r="Z458" s="1" t="s">
        <v>147</v>
      </c>
      <c r="AA458" s="1" t="s">
        <v>2250</v>
      </c>
      <c r="AB458" s="1" t="str">
        <f>"***221971**"</f>
        <v>***221971**</v>
      </c>
      <c r="AC458" s="1"/>
      <c r="AD458" s="1" t="s">
        <v>116</v>
      </c>
      <c r="AE458" s="1"/>
      <c r="AF458" s="1">
        <v>-57.395279</v>
      </c>
      <c r="AG458" s="1">
        <v>-10.206666</v>
      </c>
      <c r="AH458" s="1" t="s">
        <v>2251</v>
      </c>
      <c r="AI458" s="1"/>
      <c r="AJ458" s="1" t="s">
        <v>172</v>
      </c>
      <c r="AK458" s="1"/>
      <c r="AL458" s="1"/>
      <c r="AM458" s="1" t="s">
        <v>65</v>
      </c>
      <c r="AN458" s="1" t="s">
        <v>1703</v>
      </c>
      <c r="AO458" s="1"/>
      <c r="AP458" s="2">
        <v>43809.5282638889</v>
      </c>
      <c r="AQ458" s="1"/>
      <c r="AR458" s="1" t="s">
        <v>2209</v>
      </c>
      <c r="AS458" s="1" t="s">
        <v>2210</v>
      </c>
      <c r="AT458" s="2">
        <v>44269.931099537</v>
      </c>
    </row>
    <row r="459" ht="13.5" customHeight="1">
      <c r="A459" s="1"/>
      <c r="B459" s="1" t="s">
        <v>46</v>
      </c>
      <c r="C459" s="1" t="s">
        <v>47</v>
      </c>
      <c r="D459" s="1"/>
      <c r="E459" s="1" t="s">
        <v>2252</v>
      </c>
      <c r="F459" s="1"/>
      <c r="G459" s="1" t="s">
        <v>49</v>
      </c>
      <c r="H459" s="1" t="s">
        <v>93</v>
      </c>
      <c r="I459" s="1">
        <v>220000.0</v>
      </c>
      <c r="J459" s="1"/>
      <c r="K459" s="1"/>
      <c r="L459" s="1"/>
      <c r="M459" s="1" t="s">
        <v>2253</v>
      </c>
      <c r="N459" s="1" t="s">
        <v>142</v>
      </c>
      <c r="O459" s="1" t="s">
        <v>143</v>
      </c>
      <c r="P459" s="2">
        <v>43809.5074305556</v>
      </c>
      <c r="Q459" s="1" t="s">
        <v>74</v>
      </c>
      <c r="R459" s="1"/>
      <c r="S459" s="1"/>
      <c r="T459" s="1">
        <v>1100080.0</v>
      </c>
      <c r="U459" s="1" t="s">
        <v>1392</v>
      </c>
      <c r="V459" s="1" t="s">
        <v>448</v>
      </c>
      <c r="W459" s="1" t="s">
        <v>177</v>
      </c>
      <c r="X459" s="1"/>
      <c r="Y459" s="1"/>
      <c r="Z459" s="1" t="s">
        <v>147</v>
      </c>
      <c r="AA459" s="1" t="s">
        <v>2254</v>
      </c>
      <c r="AB459" s="1" t="str">
        <f>"***427616**"</f>
        <v>***427616**</v>
      </c>
      <c r="AC459" s="1"/>
      <c r="AD459" s="1" t="s">
        <v>116</v>
      </c>
      <c r="AE459" s="1"/>
      <c r="AF459" s="1">
        <v>-64.083618</v>
      </c>
      <c r="AG459" s="1">
        <v>-12.414721</v>
      </c>
      <c r="AH459" s="1" t="s">
        <v>2255</v>
      </c>
      <c r="AI459" s="1"/>
      <c r="AJ459" s="1" t="s">
        <v>172</v>
      </c>
      <c r="AK459" s="1"/>
      <c r="AL459" s="1"/>
      <c r="AM459" s="1" t="s">
        <v>65</v>
      </c>
      <c r="AN459" s="1" t="s">
        <v>1395</v>
      </c>
      <c r="AO459" s="1"/>
      <c r="AP459" s="2">
        <v>43809.5114467593</v>
      </c>
      <c r="AQ459" s="1"/>
      <c r="AR459" s="1" t="s">
        <v>644</v>
      </c>
      <c r="AS459" s="1"/>
      <c r="AT459" s="2">
        <v>44269.931099537</v>
      </c>
    </row>
    <row r="460" ht="13.5" customHeight="1">
      <c r="A460" s="1"/>
      <c r="B460" s="1" t="s">
        <v>46</v>
      </c>
      <c r="C460" s="1" t="s">
        <v>47</v>
      </c>
      <c r="D460" s="1"/>
      <c r="E460" s="1" t="s">
        <v>2256</v>
      </c>
      <c r="F460" s="1"/>
      <c r="G460" s="1" t="s">
        <v>49</v>
      </c>
      <c r="H460" s="1" t="s">
        <v>93</v>
      </c>
      <c r="I460" s="1">
        <v>190000.0</v>
      </c>
      <c r="J460" s="1"/>
      <c r="K460" s="1"/>
      <c r="L460" s="1"/>
      <c r="M460" s="1" t="s">
        <v>2257</v>
      </c>
      <c r="N460" s="1" t="s">
        <v>142</v>
      </c>
      <c r="O460" s="1" t="s">
        <v>143</v>
      </c>
      <c r="P460" s="2">
        <v>43809.5009375</v>
      </c>
      <c r="Q460" s="1" t="s">
        <v>74</v>
      </c>
      <c r="R460" s="1"/>
      <c r="S460" s="1"/>
      <c r="T460" s="1">
        <v>1302405.0</v>
      </c>
      <c r="U460" s="1" t="s">
        <v>2258</v>
      </c>
      <c r="V460" s="1" t="s">
        <v>486</v>
      </c>
      <c r="W460" s="1" t="s">
        <v>177</v>
      </c>
      <c r="X460" s="1"/>
      <c r="Y460" s="1"/>
      <c r="Z460" s="1" t="s">
        <v>147</v>
      </c>
      <c r="AA460" s="1" t="s">
        <v>2259</v>
      </c>
      <c r="AB460" s="1" t="str">
        <f>"***566972**"</f>
        <v>***566972**</v>
      </c>
      <c r="AC460" s="1"/>
      <c r="AD460" s="1" t="s">
        <v>116</v>
      </c>
      <c r="AE460" s="1"/>
      <c r="AF460" s="1">
        <v>-64.90361</v>
      </c>
      <c r="AG460" s="1">
        <v>-7.398334</v>
      </c>
      <c r="AH460" s="1" t="s">
        <v>2260</v>
      </c>
      <c r="AI460" s="1"/>
      <c r="AJ460" s="1" t="s">
        <v>483</v>
      </c>
      <c r="AK460" s="1"/>
      <c r="AL460" s="1"/>
      <c r="AM460" s="1" t="s">
        <v>65</v>
      </c>
      <c r="AN460" s="1"/>
      <c r="AO460" s="1"/>
      <c r="AP460" s="2">
        <v>43809.5206481482</v>
      </c>
      <c r="AQ460" s="1"/>
      <c r="AR460" s="1" t="s">
        <v>169</v>
      </c>
      <c r="AS460" s="1" t="s">
        <v>2261</v>
      </c>
      <c r="AT460" s="2">
        <v>44269.931099537</v>
      </c>
    </row>
    <row r="461" ht="13.5" customHeight="1">
      <c r="A461" s="1">
        <v>2035626.0</v>
      </c>
      <c r="B461" s="1" t="s">
        <v>67</v>
      </c>
      <c r="C461" s="1" t="s">
        <v>68</v>
      </c>
      <c r="D461" s="1" t="s">
        <v>46</v>
      </c>
      <c r="E461" s="1" t="s">
        <v>2262</v>
      </c>
      <c r="F461" s="1"/>
      <c r="G461" s="1" t="s">
        <v>70</v>
      </c>
      <c r="H461" s="1" t="s">
        <v>93</v>
      </c>
      <c r="I461" s="1">
        <v>1500.0</v>
      </c>
      <c r="J461" s="1"/>
      <c r="K461" s="1"/>
      <c r="L461" s="1" t="s">
        <v>501</v>
      </c>
      <c r="M461" s="1" t="s">
        <v>2263</v>
      </c>
      <c r="N461" s="1" t="s">
        <v>95</v>
      </c>
      <c r="O461" s="1" t="s">
        <v>96</v>
      </c>
      <c r="P461" s="2">
        <v>43809.5</v>
      </c>
      <c r="Q461" s="1" t="s">
        <v>373</v>
      </c>
      <c r="R461" s="3">
        <v>43809.0</v>
      </c>
      <c r="S461" s="1"/>
      <c r="T461" s="1">
        <v>1200203.0</v>
      </c>
      <c r="U461" s="1" t="s">
        <v>497</v>
      </c>
      <c r="V461" s="1" t="s">
        <v>498</v>
      </c>
      <c r="W461" s="1" t="s">
        <v>177</v>
      </c>
      <c r="X461" s="1"/>
      <c r="Y461" s="1" t="str">
        <f>"02021000620202088"</f>
        <v>02021000620202088</v>
      </c>
      <c r="Z461" s="1" t="s">
        <v>98</v>
      </c>
      <c r="AA461" s="1" t="s">
        <v>2264</v>
      </c>
      <c r="AB461" s="1" t="str">
        <f>"***387392**"</f>
        <v>***387392**</v>
      </c>
      <c r="AC461" s="1"/>
      <c r="AD461" s="1"/>
      <c r="AE461" s="1"/>
      <c r="AF461" s="1">
        <v>-72.633331</v>
      </c>
      <c r="AG461" s="1">
        <v>-7.803334</v>
      </c>
      <c r="AH461" s="1" t="s">
        <v>2265</v>
      </c>
      <c r="AI461" s="1"/>
      <c r="AJ461" s="1" t="s">
        <v>501</v>
      </c>
      <c r="AK461" s="1"/>
      <c r="AL461" s="1" t="s">
        <v>79</v>
      </c>
      <c r="AM461" s="1" t="s">
        <v>65</v>
      </c>
      <c r="AN461" s="1"/>
      <c r="AO461" s="2">
        <v>43909.0</v>
      </c>
      <c r="AP461" s="2">
        <v>43909.846724537</v>
      </c>
      <c r="AQ461" s="1" t="s">
        <v>80</v>
      </c>
      <c r="AR461" s="1" t="s">
        <v>1120</v>
      </c>
      <c r="AS461" s="1"/>
      <c r="AT461" s="2">
        <v>44269.931099537</v>
      </c>
    </row>
    <row r="462" ht="13.5" customHeight="1">
      <c r="A462" s="1">
        <v>2037464.0</v>
      </c>
      <c r="B462" s="1" t="s">
        <v>67</v>
      </c>
      <c r="C462" s="1" t="s">
        <v>68</v>
      </c>
      <c r="D462" s="1" t="s">
        <v>46</v>
      </c>
      <c r="E462" s="1" t="s">
        <v>2266</v>
      </c>
      <c r="F462" s="1"/>
      <c r="G462" s="1" t="s">
        <v>70</v>
      </c>
      <c r="H462" s="1" t="s">
        <v>50</v>
      </c>
      <c r="I462" s="1">
        <v>500.0</v>
      </c>
      <c r="J462" s="1"/>
      <c r="K462" s="1"/>
      <c r="L462" s="1" t="s">
        <v>898</v>
      </c>
      <c r="M462" s="1" t="s">
        <v>2267</v>
      </c>
      <c r="N462" s="1" t="s">
        <v>95</v>
      </c>
      <c r="O462" s="1" t="s">
        <v>96</v>
      </c>
      <c r="P462" s="2">
        <v>43809.5</v>
      </c>
      <c r="Q462" s="1" t="s">
        <v>373</v>
      </c>
      <c r="R462" s="3">
        <v>43809.0</v>
      </c>
      <c r="S462" s="1"/>
      <c r="T462" s="1">
        <v>2305654.0</v>
      </c>
      <c r="U462" s="1" t="s">
        <v>2092</v>
      </c>
      <c r="V462" s="1" t="s">
        <v>112</v>
      </c>
      <c r="W462" s="1" t="s">
        <v>113</v>
      </c>
      <c r="X462" s="1"/>
      <c r="Y462" s="1" t="str">
        <f>"02020000066202049"</f>
        <v>02020000066202049</v>
      </c>
      <c r="Z462" s="1" t="s">
        <v>98</v>
      </c>
      <c r="AA462" s="1" t="s">
        <v>2268</v>
      </c>
      <c r="AB462" s="1" t="str">
        <f>"***050977**"</f>
        <v>***050977**</v>
      </c>
      <c r="AC462" s="1"/>
      <c r="AD462" s="1"/>
      <c r="AE462" s="1"/>
      <c r="AF462" s="1">
        <v>-40.649719</v>
      </c>
      <c r="AG462" s="1">
        <v>5.016944</v>
      </c>
      <c r="AH462" s="1" t="s">
        <v>2269</v>
      </c>
      <c r="AI462" s="1"/>
      <c r="AJ462" s="1" t="s">
        <v>898</v>
      </c>
      <c r="AK462" s="1"/>
      <c r="AL462" s="1" t="s">
        <v>79</v>
      </c>
      <c r="AM462" s="1" t="s">
        <v>65</v>
      </c>
      <c r="AN462" s="1" t="s">
        <v>1781</v>
      </c>
      <c r="AO462" s="2">
        <v>43998.0</v>
      </c>
      <c r="AP462" s="2">
        <v>43998.5162615741</v>
      </c>
      <c r="AQ462" s="1" t="s">
        <v>80</v>
      </c>
      <c r="AR462" s="1" t="s">
        <v>2270</v>
      </c>
      <c r="AS462" s="1"/>
      <c r="AT462" s="2">
        <v>44269.931099537</v>
      </c>
    </row>
    <row r="463" ht="13.5" customHeight="1">
      <c r="A463" s="1">
        <v>2039792.0</v>
      </c>
      <c r="B463" s="1" t="s">
        <v>67</v>
      </c>
      <c r="C463" s="1" t="s">
        <v>68</v>
      </c>
      <c r="D463" s="1" t="s">
        <v>46</v>
      </c>
      <c r="E463" s="1" t="s">
        <v>2271</v>
      </c>
      <c r="F463" s="1"/>
      <c r="G463" s="1" t="s">
        <v>70</v>
      </c>
      <c r="H463" s="1" t="s">
        <v>50</v>
      </c>
      <c r="I463" s="1">
        <v>761000.0</v>
      </c>
      <c r="J463" s="1"/>
      <c r="K463" s="1"/>
      <c r="L463" s="1" t="s">
        <v>172</v>
      </c>
      <c r="M463" s="1" t="s">
        <v>2272</v>
      </c>
      <c r="N463" s="1" t="s">
        <v>72</v>
      </c>
      <c r="O463" s="1" t="s">
        <v>213</v>
      </c>
      <c r="P463" s="2">
        <v>43809.5</v>
      </c>
      <c r="Q463" s="1" t="s">
        <v>74</v>
      </c>
      <c r="R463" s="1"/>
      <c r="S463" s="1"/>
      <c r="T463" s="1">
        <v>3151800.0</v>
      </c>
      <c r="U463" s="1" t="s">
        <v>2273</v>
      </c>
      <c r="V463" s="1" t="s">
        <v>126</v>
      </c>
      <c r="W463" s="1" t="s">
        <v>59</v>
      </c>
      <c r="X463" s="1"/>
      <c r="Y463" s="1" t="str">
        <f>"02001035323201958"</f>
        <v>02001035323201958</v>
      </c>
      <c r="Z463" s="1" t="s">
        <v>215</v>
      </c>
      <c r="AA463" s="1" t="s">
        <v>2274</v>
      </c>
      <c r="AB463" s="1" t="str">
        <f>"00322818003650"</f>
        <v>00322818003650</v>
      </c>
      <c r="AC463" s="1"/>
      <c r="AD463" s="1"/>
      <c r="AE463" s="1"/>
      <c r="AF463" s="1">
        <v>-46.506863</v>
      </c>
      <c r="AG463" s="1">
        <v>-21.962029</v>
      </c>
      <c r="AH463" s="1" t="s">
        <v>2275</v>
      </c>
      <c r="AI463" s="1"/>
      <c r="AJ463" s="1" t="s">
        <v>172</v>
      </c>
      <c r="AK463" s="1"/>
      <c r="AL463" s="1" t="s">
        <v>79</v>
      </c>
      <c r="AM463" s="1" t="s">
        <v>65</v>
      </c>
      <c r="AN463" s="1" t="s">
        <v>720</v>
      </c>
      <c r="AO463" s="2">
        <v>44074.0</v>
      </c>
      <c r="AP463" s="2">
        <v>44074.6112268519</v>
      </c>
      <c r="AQ463" s="1" t="s">
        <v>80</v>
      </c>
      <c r="AR463" s="1" t="s">
        <v>1072</v>
      </c>
      <c r="AS463" s="1" t="s">
        <v>2276</v>
      </c>
      <c r="AT463" s="2">
        <v>44269.931099537</v>
      </c>
    </row>
    <row r="464" ht="13.5" customHeight="1">
      <c r="A464" s="1">
        <v>2042709.0</v>
      </c>
      <c r="B464" s="1" t="s">
        <v>67</v>
      </c>
      <c r="C464" s="1" t="s">
        <v>68</v>
      </c>
      <c r="D464" s="1" t="s">
        <v>46</v>
      </c>
      <c r="E464" s="1" t="s">
        <v>2277</v>
      </c>
      <c r="F464" s="1"/>
      <c r="G464" s="1" t="s">
        <v>70</v>
      </c>
      <c r="H464" s="1" t="s">
        <v>93</v>
      </c>
      <c r="I464" s="1">
        <v>500.0</v>
      </c>
      <c r="J464" s="1"/>
      <c r="K464" s="1"/>
      <c r="L464" s="1" t="s">
        <v>1040</v>
      </c>
      <c r="M464" s="1" t="s">
        <v>2278</v>
      </c>
      <c r="N464" s="1" t="s">
        <v>72</v>
      </c>
      <c r="O464" s="1" t="s">
        <v>213</v>
      </c>
      <c r="P464" s="2">
        <v>43809.5</v>
      </c>
      <c r="Q464" s="1" t="s">
        <v>373</v>
      </c>
      <c r="R464" s="3">
        <v>43809.0</v>
      </c>
      <c r="S464" s="1"/>
      <c r="T464" s="1">
        <v>2601102.0</v>
      </c>
      <c r="U464" s="1" t="s">
        <v>1276</v>
      </c>
      <c r="V464" s="1" t="s">
        <v>1037</v>
      </c>
      <c r="W464" s="1" t="s">
        <v>113</v>
      </c>
      <c r="X464" s="1"/>
      <c r="Y464" s="1" t="str">
        <f>"02019000253202061"</f>
        <v>02019000253202061</v>
      </c>
      <c r="Z464" s="1" t="s">
        <v>215</v>
      </c>
      <c r="AA464" s="1" t="s">
        <v>2279</v>
      </c>
      <c r="AB464" s="1" t="str">
        <f>"23156497000137"</f>
        <v>23156497000137</v>
      </c>
      <c r="AC464" s="1"/>
      <c r="AD464" s="1"/>
      <c r="AE464" s="1"/>
      <c r="AF464" s="1">
        <v>-40.419167</v>
      </c>
      <c r="AG464" s="1">
        <v>-7.644166</v>
      </c>
      <c r="AH464" s="1" t="s">
        <v>2280</v>
      </c>
      <c r="AI464" s="1"/>
      <c r="AJ464" s="1" t="s">
        <v>1040</v>
      </c>
      <c r="AK464" s="1"/>
      <c r="AL464" s="1" t="s">
        <v>79</v>
      </c>
      <c r="AM464" s="1" t="s">
        <v>65</v>
      </c>
      <c r="AN464" s="1" t="s">
        <v>1279</v>
      </c>
      <c r="AO464" s="2">
        <v>44215.0</v>
      </c>
      <c r="AP464" s="2">
        <v>44215.7822337963</v>
      </c>
      <c r="AQ464" s="1" t="s">
        <v>80</v>
      </c>
      <c r="AR464" s="1" t="s">
        <v>909</v>
      </c>
      <c r="AS464" s="1"/>
      <c r="AT464" s="2">
        <v>44269.931099537</v>
      </c>
    </row>
    <row r="465" ht="13.5" customHeight="1">
      <c r="A465" s="1"/>
      <c r="B465" s="1" t="s">
        <v>46</v>
      </c>
      <c r="C465" s="1" t="s">
        <v>47</v>
      </c>
      <c r="D465" s="1"/>
      <c r="E465" s="1" t="s">
        <v>2281</v>
      </c>
      <c r="F465" s="1"/>
      <c r="G465" s="1" t="s">
        <v>121</v>
      </c>
      <c r="H465" s="1"/>
      <c r="I465" s="1"/>
      <c r="J465" s="1"/>
      <c r="K465" s="1"/>
      <c r="L465" s="1"/>
      <c r="M465" s="1" t="s">
        <v>2282</v>
      </c>
      <c r="N465" s="1" t="s">
        <v>1886</v>
      </c>
      <c r="O465" s="1" t="s">
        <v>1887</v>
      </c>
      <c r="P465" s="2">
        <v>43809.4991435185</v>
      </c>
      <c r="Q465" s="1"/>
      <c r="R465" s="1"/>
      <c r="S465" s="1"/>
      <c r="T465" s="1">
        <v>3509502.0</v>
      </c>
      <c r="U465" s="1" t="s">
        <v>97</v>
      </c>
      <c r="V465" s="1" t="s">
        <v>58</v>
      </c>
      <c r="W465" s="1" t="s">
        <v>59</v>
      </c>
      <c r="X465" s="1"/>
      <c r="Y465" s="1" t="str">
        <f>"02285000177202044"</f>
        <v>02285000177202044</v>
      </c>
      <c r="Z465" s="1" t="s">
        <v>1889</v>
      </c>
      <c r="AA465" s="1" t="s">
        <v>2202</v>
      </c>
      <c r="AB465" s="1" t="str">
        <f>"48031918001872"</f>
        <v>48031918001872</v>
      </c>
      <c r="AC465" s="1"/>
      <c r="AD465" s="1" t="s">
        <v>62</v>
      </c>
      <c r="AE465" s="1"/>
      <c r="AF465" s="1">
        <v>-47.144169</v>
      </c>
      <c r="AG465" s="1">
        <v>-23.007778</v>
      </c>
      <c r="AH465" s="1" t="s">
        <v>2283</v>
      </c>
      <c r="AI465" s="1"/>
      <c r="AJ465" s="1" t="s">
        <v>101</v>
      </c>
      <c r="AK465" s="1"/>
      <c r="AL465" s="1"/>
      <c r="AM465" s="1" t="s">
        <v>65</v>
      </c>
      <c r="AN465" s="1" t="s">
        <v>102</v>
      </c>
      <c r="AO465" s="1"/>
      <c r="AP465" s="2">
        <v>43809.5222106481</v>
      </c>
      <c r="AQ465" s="1"/>
      <c r="AR465" s="1" t="s">
        <v>2284</v>
      </c>
      <c r="AS465" s="1" t="s">
        <v>2285</v>
      </c>
      <c r="AT465" s="2">
        <v>44269.931099537</v>
      </c>
    </row>
    <row r="466" ht="13.5" customHeight="1">
      <c r="A466" s="1"/>
      <c r="B466" s="1" t="s">
        <v>46</v>
      </c>
      <c r="C466" s="1" t="s">
        <v>47</v>
      </c>
      <c r="D466" s="1"/>
      <c r="E466" s="1" t="s">
        <v>2286</v>
      </c>
      <c r="F466" s="1"/>
      <c r="G466" s="1" t="s">
        <v>49</v>
      </c>
      <c r="H466" s="1" t="s">
        <v>93</v>
      </c>
      <c r="I466" s="1">
        <v>9003.9</v>
      </c>
      <c r="J466" s="1"/>
      <c r="K466" s="1"/>
      <c r="L466" s="1"/>
      <c r="M466" s="1" t="s">
        <v>2287</v>
      </c>
      <c r="N466" s="1" t="s">
        <v>72</v>
      </c>
      <c r="O466" s="1" t="s">
        <v>1364</v>
      </c>
      <c r="P466" s="2">
        <v>43809.493287037</v>
      </c>
      <c r="Q466" s="1" t="s">
        <v>74</v>
      </c>
      <c r="R466" s="3">
        <v>43809.0</v>
      </c>
      <c r="S466" s="1"/>
      <c r="T466" s="1">
        <v>1100403.0</v>
      </c>
      <c r="U466" s="1" t="s">
        <v>2038</v>
      </c>
      <c r="V466" s="1" t="s">
        <v>448</v>
      </c>
      <c r="W466" s="1" t="s">
        <v>177</v>
      </c>
      <c r="X466" s="1"/>
      <c r="Y466" s="1"/>
      <c r="Z466" s="1"/>
      <c r="AA466" s="1" t="s">
        <v>2288</v>
      </c>
      <c r="AB466" s="1" t="str">
        <f>"22635807000133"</f>
        <v>22635807000133</v>
      </c>
      <c r="AC466" s="1"/>
      <c r="AD466" s="1" t="s">
        <v>62</v>
      </c>
      <c r="AE466" s="1"/>
      <c r="AF466" s="1">
        <v>-63.333611</v>
      </c>
      <c r="AG466" s="1">
        <v>-9.752222</v>
      </c>
      <c r="AH466" s="1" t="s">
        <v>2197</v>
      </c>
      <c r="AI466" s="1"/>
      <c r="AJ466" s="1" t="s">
        <v>371</v>
      </c>
      <c r="AK466" s="1"/>
      <c r="AL466" s="1"/>
      <c r="AM466" s="1" t="s">
        <v>65</v>
      </c>
      <c r="AN466" s="1" t="s">
        <v>378</v>
      </c>
      <c r="AO466" s="1"/>
      <c r="AP466" s="2">
        <v>43809.5198726852</v>
      </c>
      <c r="AQ466" s="1"/>
      <c r="AR466" s="1" t="s">
        <v>613</v>
      </c>
      <c r="AS466" s="1"/>
      <c r="AT466" s="2">
        <v>44269.931099537</v>
      </c>
    </row>
    <row r="467" ht="13.5" customHeight="1">
      <c r="A467" s="1"/>
      <c r="B467" s="1" t="s">
        <v>46</v>
      </c>
      <c r="C467" s="1" t="s">
        <v>47</v>
      </c>
      <c r="D467" s="1"/>
      <c r="E467" s="1" t="s">
        <v>2289</v>
      </c>
      <c r="F467" s="1"/>
      <c r="G467" s="1" t="s">
        <v>49</v>
      </c>
      <c r="H467" s="1" t="s">
        <v>50</v>
      </c>
      <c r="I467" s="1">
        <v>50500.0</v>
      </c>
      <c r="J467" s="1"/>
      <c r="K467" s="1" t="s">
        <v>140</v>
      </c>
      <c r="L467" s="1"/>
      <c r="M467" s="1" t="s">
        <v>2290</v>
      </c>
      <c r="N467" s="1" t="s">
        <v>212</v>
      </c>
      <c r="O467" s="1" t="s">
        <v>213</v>
      </c>
      <c r="P467" s="2">
        <v>43809.462662037</v>
      </c>
      <c r="Q467" s="1" t="s">
        <v>74</v>
      </c>
      <c r="R467" s="1"/>
      <c r="S467" s="1"/>
      <c r="T467" s="1">
        <v>3205309.0</v>
      </c>
      <c r="U467" s="1" t="s">
        <v>718</v>
      </c>
      <c r="V467" s="1" t="s">
        <v>403</v>
      </c>
      <c r="W467" s="1" t="s">
        <v>288</v>
      </c>
      <c r="X467" s="1"/>
      <c r="Y467" s="1"/>
      <c r="Z467" s="1" t="s">
        <v>215</v>
      </c>
      <c r="AA467" s="1" t="s">
        <v>1381</v>
      </c>
      <c r="AB467" s="1" t="str">
        <f>"33000167000454"</f>
        <v>33000167000454</v>
      </c>
      <c r="AC467" s="1"/>
      <c r="AD467" s="1" t="s">
        <v>149</v>
      </c>
      <c r="AE467" s="1"/>
      <c r="AF467" s="1">
        <v>-40.294971</v>
      </c>
      <c r="AG467" s="1">
        <v>-19.011749</v>
      </c>
      <c r="AH467" s="1" t="s">
        <v>2291</v>
      </c>
      <c r="AI467" s="1"/>
      <c r="AJ467" s="1" t="s">
        <v>172</v>
      </c>
      <c r="AK467" s="1"/>
      <c r="AL467" s="1"/>
      <c r="AM467" s="1" t="s">
        <v>65</v>
      </c>
      <c r="AN467" s="1" t="s">
        <v>720</v>
      </c>
      <c r="AO467" s="1"/>
      <c r="AP467" s="2">
        <v>44036.7354861111</v>
      </c>
      <c r="AQ467" s="1"/>
      <c r="AR467" s="1" t="s">
        <v>721</v>
      </c>
      <c r="AS467" s="1" t="s">
        <v>722</v>
      </c>
      <c r="AT467" s="2">
        <v>44269.931099537</v>
      </c>
    </row>
    <row r="468" ht="13.5" customHeight="1">
      <c r="A468" s="1">
        <v>2038804.0</v>
      </c>
      <c r="B468" s="1" t="s">
        <v>67</v>
      </c>
      <c r="C468" s="1" t="s">
        <v>68</v>
      </c>
      <c r="D468" s="1" t="s">
        <v>46</v>
      </c>
      <c r="E468" s="1" t="s">
        <v>2292</v>
      </c>
      <c r="F468" s="1"/>
      <c r="G468" s="1" t="s">
        <v>70</v>
      </c>
      <c r="H468" s="1" t="s">
        <v>50</v>
      </c>
      <c r="I468" s="1">
        <v>5500.0</v>
      </c>
      <c r="J468" s="1"/>
      <c r="K468" s="1"/>
      <c r="L468" s="1" t="s">
        <v>587</v>
      </c>
      <c r="M468" s="1" t="s">
        <v>2293</v>
      </c>
      <c r="N468" s="1" t="s">
        <v>72</v>
      </c>
      <c r="O468" s="1" t="s">
        <v>73</v>
      </c>
      <c r="P468" s="2">
        <v>43809.4583333333</v>
      </c>
      <c r="Q468" s="1" t="s">
        <v>74</v>
      </c>
      <c r="R468" s="1"/>
      <c r="S468" s="1"/>
      <c r="T468" s="1">
        <v>3169703.0</v>
      </c>
      <c r="U468" s="1" t="s">
        <v>589</v>
      </c>
      <c r="V468" s="1" t="s">
        <v>126</v>
      </c>
      <c r="W468" s="1" t="s">
        <v>127</v>
      </c>
      <c r="X468" s="1"/>
      <c r="Y468" s="1" t="str">
        <f>"02566000014202013"</f>
        <v>02566000014202013</v>
      </c>
      <c r="Z468" s="1" t="s">
        <v>76</v>
      </c>
      <c r="AA468" s="1" t="s">
        <v>590</v>
      </c>
      <c r="AB468" s="1" t="str">
        <f>"***692406**"</f>
        <v>***692406**</v>
      </c>
      <c r="AC468" s="1"/>
      <c r="AD468" s="1"/>
      <c r="AE468" s="1"/>
      <c r="AF468" s="1">
        <v>-42.709167</v>
      </c>
      <c r="AG468" s="1">
        <v>-17.289999</v>
      </c>
      <c r="AH468" s="1" t="s">
        <v>2294</v>
      </c>
      <c r="AI468" s="1"/>
      <c r="AJ468" s="1" t="s">
        <v>587</v>
      </c>
      <c r="AK468" s="1"/>
      <c r="AL468" s="1" t="s">
        <v>79</v>
      </c>
      <c r="AM468" s="1" t="s">
        <v>65</v>
      </c>
      <c r="AN468" s="1" t="s">
        <v>592</v>
      </c>
      <c r="AO468" s="2">
        <v>44046.0</v>
      </c>
      <c r="AP468" s="2">
        <v>44046.6717824074</v>
      </c>
      <c r="AQ468" s="1" t="s">
        <v>80</v>
      </c>
      <c r="AR468" s="1" t="s">
        <v>188</v>
      </c>
      <c r="AS468" s="1"/>
      <c r="AT468" s="2">
        <v>44269.931099537</v>
      </c>
    </row>
    <row r="469" ht="13.5" customHeight="1">
      <c r="A469" s="1"/>
      <c r="B469" s="1" t="s">
        <v>46</v>
      </c>
      <c r="C469" s="1" t="s">
        <v>47</v>
      </c>
      <c r="D469" s="1"/>
      <c r="E469" s="1" t="s">
        <v>2295</v>
      </c>
      <c r="F469" s="1"/>
      <c r="G469" s="1" t="s">
        <v>49</v>
      </c>
      <c r="H469" s="1" t="s">
        <v>50</v>
      </c>
      <c r="I469" s="1">
        <v>100000.0</v>
      </c>
      <c r="J469" s="1"/>
      <c r="K469" s="1" t="s">
        <v>51</v>
      </c>
      <c r="L469" s="1"/>
      <c r="M469" s="1" t="s">
        <v>2296</v>
      </c>
      <c r="N469" s="1" t="s">
        <v>283</v>
      </c>
      <c r="O469" s="1" t="s">
        <v>1133</v>
      </c>
      <c r="P469" s="2">
        <v>43809.4567361111</v>
      </c>
      <c r="Q469" s="1" t="s">
        <v>74</v>
      </c>
      <c r="R469" s="1"/>
      <c r="S469" s="1"/>
      <c r="T469" s="1">
        <v>3302403.0</v>
      </c>
      <c r="U469" s="1" t="s">
        <v>1371</v>
      </c>
      <c r="V469" s="1" t="s">
        <v>287</v>
      </c>
      <c r="W469" s="1" t="s">
        <v>288</v>
      </c>
      <c r="X469" s="1"/>
      <c r="Y469" s="1"/>
      <c r="Z469" s="1" t="s">
        <v>128</v>
      </c>
      <c r="AA469" s="1" t="s">
        <v>1449</v>
      </c>
      <c r="AB469" s="1" t="str">
        <f t="shared" ref="AB469:AB471" si="23">"33000167100750"</f>
        <v>33000167100750</v>
      </c>
      <c r="AC469" s="1"/>
      <c r="AD469" s="1" t="s">
        <v>149</v>
      </c>
      <c r="AE469" s="1"/>
      <c r="AF469" s="1">
        <v>-40.416946</v>
      </c>
      <c r="AG469" s="1">
        <v>-22.374166</v>
      </c>
      <c r="AH469" s="1" t="s">
        <v>2297</v>
      </c>
      <c r="AI469" s="1"/>
      <c r="AJ469" s="1" t="s">
        <v>172</v>
      </c>
      <c r="AK469" s="1"/>
      <c r="AL469" s="1"/>
      <c r="AM469" s="1" t="s">
        <v>65</v>
      </c>
      <c r="AN469" s="1" t="s">
        <v>720</v>
      </c>
      <c r="AO469" s="1"/>
      <c r="AP469" s="2">
        <v>44013.7191550926</v>
      </c>
      <c r="AQ469" s="1"/>
      <c r="AR469" s="1" t="s">
        <v>1360</v>
      </c>
      <c r="AS469" s="1" t="s">
        <v>1361</v>
      </c>
      <c r="AT469" s="2">
        <v>44269.931099537</v>
      </c>
    </row>
    <row r="470" ht="13.5" customHeight="1">
      <c r="A470" s="1"/>
      <c r="B470" s="1" t="s">
        <v>46</v>
      </c>
      <c r="C470" s="1" t="s">
        <v>47</v>
      </c>
      <c r="D470" s="1"/>
      <c r="E470" s="1" t="s">
        <v>2298</v>
      </c>
      <c r="F470" s="1"/>
      <c r="G470" s="1" t="s">
        <v>49</v>
      </c>
      <c r="H470" s="1" t="s">
        <v>50</v>
      </c>
      <c r="I470" s="1">
        <v>50500.0</v>
      </c>
      <c r="J470" s="1"/>
      <c r="K470" s="1" t="s">
        <v>51</v>
      </c>
      <c r="L470" s="1"/>
      <c r="M470" s="1" t="s">
        <v>2299</v>
      </c>
      <c r="N470" s="1" t="s">
        <v>212</v>
      </c>
      <c r="O470" s="1" t="s">
        <v>213</v>
      </c>
      <c r="P470" s="2">
        <v>43809.4467361111</v>
      </c>
      <c r="Q470" s="1" t="s">
        <v>74</v>
      </c>
      <c r="R470" s="1"/>
      <c r="S470" s="1"/>
      <c r="T470" s="1">
        <v>5300108.0</v>
      </c>
      <c r="U470" s="1" t="s">
        <v>1541</v>
      </c>
      <c r="V470" s="1" t="s">
        <v>1542</v>
      </c>
      <c r="W470" s="1" t="s">
        <v>288</v>
      </c>
      <c r="X470" s="1"/>
      <c r="Y470" s="1"/>
      <c r="Z470" s="1" t="s">
        <v>215</v>
      </c>
      <c r="AA470" s="1" t="s">
        <v>2300</v>
      </c>
      <c r="AB470" s="1" t="str">
        <f t="shared" si="23"/>
        <v>33000167100750</v>
      </c>
      <c r="AC470" s="1"/>
      <c r="AD470" s="1" t="s">
        <v>149</v>
      </c>
      <c r="AE470" s="1"/>
      <c r="AF470" s="1">
        <v>-47.861942</v>
      </c>
      <c r="AG470" s="1">
        <v>-15.766944</v>
      </c>
      <c r="AH470" s="1" t="s">
        <v>1544</v>
      </c>
      <c r="AI470" s="1"/>
      <c r="AJ470" s="1" t="s">
        <v>172</v>
      </c>
      <c r="AK470" s="1"/>
      <c r="AL470" s="1"/>
      <c r="AM470" s="1" t="s">
        <v>65</v>
      </c>
      <c r="AN470" s="1" t="s">
        <v>720</v>
      </c>
      <c r="AO470" s="1"/>
      <c r="AP470" s="2">
        <v>43809.4530092593</v>
      </c>
      <c r="AQ470" s="1"/>
      <c r="AR470" s="1" t="s">
        <v>721</v>
      </c>
      <c r="AS470" s="1" t="s">
        <v>1545</v>
      </c>
      <c r="AT470" s="2">
        <v>44269.931099537</v>
      </c>
    </row>
    <row r="471" ht="13.5" customHeight="1">
      <c r="A471" s="1"/>
      <c r="B471" s="1" t="s">
        <v>46</v>
      </c>
      <c r="C471" s="1" t="s">
        <v>47</v>
      </c>
      <c r="D471" s="1"/>
      <c r="E471" s="1" t="s">
        <v>2301</v>
      </c>
      <c r="F471" s="1"/>
      <c r="G471" s="1" t="s">
        <v>49</v>
      </c>
      <c r="H471" s="1" t="s">
        <v>50</v>
      </c>
      <c r="I471" s="1">
        <v>100000.0</v>
      </c>
      <c r="J471" s="1"/>
      <c r="K471" s="1" t="s">
        <v>51</v>
      </c>
      <c r="L471" s="1"/>
      <c r="M471" s="1" t="s">
        <v>2302</v>
      </c>
      <c r="N471" s="1" t="s">
        <v>283</v>
      </c>
      <c r="O471" s="1" t="s">
        <v>1133</v>
      </c>
      <c r="P471" s="2">
        <v>43809.4252893518</v>
      </c>
      <c r="Q471" s="1" t="s">
        <v>74</v>
      </c>
      <c r="R471" s="1"/>
      <c r="S471" s="1"/>
      <c r="T471" s="1">
        <v>3302403.0</v>
      </c>
      <c r="U471" s="1" t="s">
        <v>1371</v>
      </c>
      <c r="V471" s="1" t="s">
        <v>287</v>
      </c>
      <c r="W471" s="1" t="s">
        <v>288</v>
      </c>
      <c r="X471" s="1"/>
      <c r="Y471" s="1"/>
      <c r="Z471" s="1" t="s">
        <v>128</v>
      </c>
      <c r="AA471" s="1" t="s">
        <v>1449</v>
      </c>
      <c r="AB471" s="1" t="str">
        <f t="shared" si="23"/>
        <v>33000167100750</v>
      </c>
      <c r="AC471" s="1"/>
      <c r="AD471" s="1" t="s">
        <v>149</v>
      </c>
      <c r="AE471" s="1"/>
      <c r="AF471" s="1">
        <v>-40.416946</v>
      </c>
      <c r="AG471" s="1">
        <v>-22.374166</v>
      </c>
      <c r="AH471" s="1" t="s">
        <v>2297</v>
      </c>
      <c r="AI471" s="1"/>
      <c r="AJ471" s="1" t="s">
        <v>172</v>
      </c>
      <c r="AK471" s="1"/>
      <c r="AL471" s="1"/>
      <c r="AM471" s="1" t="s">
        <v>65</v>
      </c>
      <c r="AN471" s="1" t="s">
        <v>720</v>
      </c>
      <c r="AO471" s="1"/>
      <c r="AP471" s="2">
        <v>44013.7192361111</v>
      </c>
      <c r="AQ471" s="1"/>
      <c r="AR471" s="1" t="s">
        <v>1360</v>
      </c>
      <c r="AS471" s="1" t="s">
        <v>1361</v>
      </c>
      <c r="AT471" s="2">
        <v>44269.931099537</v>
      </c>
    </row>
    <row r="472" ht="13.5" customHeight="1">
      <c r="A472" s="1">
        <v>2035610.0</v>
      </c>
      <c r="B472" s="1" t="s">
        <v>67</v>
      </c>
      <c r="C472" s="1" t="s">
        <v>68</v>
      </c>
      <c r="D472" s="1" t="s">
        <v>46</v>
      </c>
      <c r="E472" s="1" t="s">
        <v>2303</v>
      </c>
      <c r="F472" s="1"/>
      <c r="G472" s="1" t="s">
        <v>70</v>
      </c>
      <c r="H472" s="1" t="s">
        <v>93</v>
      </c>
      <c r="I472" s="1">
        <v>3000.0</v>
      </c>
      <c r="J472" s="1"/>
      <c r="K472" s="1"/>
      <c r="L472" s="1" t="s">
        <v>501</v>
      </c>
      <c r="M472" s="1" t="s">
        <v>2304</v>
      </c>
      <c r="N472" s="1" t="s">
        <v>95</v>
      </c>
      <c r="O472" s="1" t="s">
        <v>96</v>
      </c>
      <c r="P472" s="2">
        <v>43809.4166666667</v>
      </c>
      <c r="Q472" s="1" t="s">
        <v>373</v>
      </c>
      <c r="R472" s="3">
        <v>43809.0</v>
      </c>
      <c r="S472" s="1"/>
      <c r="T472" s="1">
        <v>2412005.0</v>
      </c>
      <c r="U472" s="1" t="s">
        <v>1375</v>
      </c>
      <c r="V472" s="1" t="s">
        <v>1424</v>
      </c>
      <c r="W472" s="1" t="s">
        <v>113</v>
      </c>
      <c r="X472" s="1"/>
      <c r="Y472" s="1" t="str">
        <f>"02021000217202059"</f>
        <v>02021000217202059</v>
      </c>
      <c r="Z472" s="1" t="s">
        <v>98</v>
      </c>
      <c r="AA472" s="1" t="s">
        <v>1824</v>
      </c>
      <c r="AB472" s="1" t="str">
        <f>"***944654**"</f>
        <v>***944654**</v>
      </c>
      <c r="AC472" s="1"/>
      <c r="AD472" s="1"/>
      <c r="AE472" s="1"/>
      <c r="AF472" s="1">
        <v>-35.326664</v>
      </c>
      <c r="AG472" s="1">
        <v>-5.748889</v>
      </c>
      <c r="AH472" s="1" t="s">
        <v>2305</v>
      </c>
      <c r="AI472" s="1"/>
      <c r="AJ472" s="1" t="s">
        <v>501</v>
      </c>
      <c r="AK472" s="1"/>
      <c r="AL472" s="1" t="s">
        <v>79</v>
      </c>
      <c r="AM472" s="1" t="s">
        <v>65</v>
      </c>
      <c r="AN472" s="1" t="s">
        <v>1427</v>
      </c>
      <c r="AO472" s="2">
        <v>43909.0</v>
      </c>
      <c r="AP472" s="2">
        <v>43909.7246759259</v>
      </c>
      <c r="AQ472" s="1" t="s">
        <v>80</v>
      </c>
      <c r="AR472" s="1" t="s">
        <v>1826</v>
      </c>
      <c r="AS472" s="1"/>
      <c r="AT472" s="2">
        <v>44269.931099537</v>
      </c>
    </row>
    <row r="473" ht="13.5" customHeight="1">
      <c r="A473" s="1">
        <v>2038119.0</v>
      </c>
      <c r="B473" s="1" t="s">
        <v>67</v>
      </c>
      <c r="C473" s="1" t="s">
        <v>68</v>
      </c>
      <c r="D473" s="1" t="s">
        <v>46</v>
      </c>
      <c r="E473" s="1" t="s">
        <v>2306</v>
      </c>
      <c r="F473" s="1"/>
      <c r="G473" s="1" t="s">
        <v>70</v>
      </c>
      <c r="H473" s="1" t="s">
        <v>93</v>
      </c>
      <c r="I473" s="1">
        <v>352500.0</v>
      </c>
      <c r="J473" s="1"/>
      <c r="K473" s="1"/>
      <c r="L473" s="1" t="s">
        <v>172</v>
      </c>
      <c r="M473" s="1" t="s">
        <v>2307</v>
      </c>
      <c r="N473" s="1" t="s">
        <v>142</v>
      </c>
      <c r="O473" s="1" t="s">
        <v>143</v>
      </c>
      <c r="P473" s="2">
        <v>43809.375</v>
      </c>
      <c r="Q473" s="1" t="s">
        <v>373</v>
      </c>
      <c r="R473" s="3">
        <v>43809.0</v>
      </c>
      <c r="S473" s="1"/>
      <c r="T473" s="1">
        <v>1504752.0</v>
      </c>
      <c r="U473" s="1" t="s">
        <v>2043</v>
      </c>
      <c r="V473" s="1" t="s">
        <v>193</v>
      </c>
      <c r="W473" s="1" t="s">
        <v>177</v>
      </c>
      <c r="X473" s="1"/>
      <c r="Y473" s="1" t="str">
        <f>"02001002789202019"</f>
        <v>02001002789202019</v>
      </c>
      <c r="Z473" s="1" t="s">
        <v>147</v>
      </c>
      <c r="AA473" s="1" t="s">
        <v>2308</v>
      </c>
      <c r="AB473" s="1" t="str">
        <f>"***043292**"</f>
        <v>***043292**</v>
      </c>
      <c r="AC473" s="1"/>
      <c r="AD473" s="1"/>
      <c r="AE473" s="1"/>
      <c r="AF473" s="1">
        <v>-56.738609</v>
      </c>
      <c r="AG473" s="1">
        <v>-3.19</v>
      </c>
      <c r="AH473" s="1" t="s">
        <v>2309</v>
      </c>
      <c r="AI473" s="1"/>
      <c r="AJ473" s="1" t="s">
        <v>172</v>
      </c>
      <c r="AK473" s="1"/>
      <c r="AL473" s="1" t="s">
        <v>79</v>
      </c>
      <c r="AM473" s="1" t="s">
        <v>65</v>
      </c>
      <c r="AN473" s="1" t="s">
        <v>1395</v>
      </c>
      <c r="AO473" s="2">
        <v>44022.0</v>
      </c>
      <c r="AP473" s="2">
        <v>44022.4676388889</v>
      </c>
      <c r="AQ473" s="1" t="s">
        <v>80</v>
      </c>
      <c r="AR473" s="1" t="s">
        <v>2310</v>
      </c>
      <c r="AS473" s="1" t="s">
        <v>2311</v>
      </c>
      <c r="AT473" s="2">
        <v>44269.931099537</v>
      </c>
    </row>
    <row r="474" ht="13.5" customHeight="1">
      <c r="A474" s="1">
        <v>2039842.0</v>
      </c>
      <c r="B474" s="1" t="s">
        <v>67</v>
      </c>
      <c r="C474" s="1" t="s">
        <v>68</v>
      </c>
      <c r="D474" s="1" t="s">
        <v>46</v>
      </c>
      <c r="E474" s="1" t="s">
        <v>2312</v>
      </c>
      <c r="F474" s="1"/>
      <c r="G474" s="1" t="s">
        <v>70</v>
      </c>
      <c r="H474" s="1" t="s">
        <v>50</v>
      </c>
      <c r="I474" s="1">
        <v>100000.0</v>
      </c>
      <c r="J474" s="1"/>
      <c r="K474" s="1"/>
      <c r="L474" s="1" t="s">
        <v>172</v>
      </c>
      <c r="M474" s="1" t="s">
        <v>2313</v>
      </c>
      <c r="N474" s="1" t="s">
        <v>283</v>
      </c>
      <c r="O474" s="1" t="s">
        <v>1133</v>
      </c>
      <c r="P474" s="2">
        <v>43809.375</v>
      </c>
      <c r="Q474" s="1" t="s">
        <v>74</v>
      </c>
      <c r="R474" s="1"/>
      <c r="S474" s="1"/>
      <c r="T474" s="1">
        <v>3302403.0</v>
      </c>
      <c r="U474" s="1" t="s">
        <v>1371</v>
      </c>
      <c r="V474" s="1" t="s">
        <v>287</v>
      </c>
      <c r="W474" s="1" t="s">
        <v>288</v>
      </c>
      <c r="X474" s="1"/>
      <c r="Y474" s="1" t="str">
        <f>"02001035317201909"</f>
        <v>02001035317201909</v>
      </c>
      <c r="Z474" s="1" t="s">
        <v>128</v>
      </c>
      <c r="AA474" s="1" t="s">
        <v>1449</v>
      </c>
      <c r="AB474" s="1" t="str">
        <f t="shared" ref="AB474:AB477" si="24">"33000167100750"</f>
        <v>33000167100750</v>
      </c>
      <c r="AC474" s="1"/>
      <c r="AD474" s="1"/>
      <c r="AE474" s="1"/>
      <c r="AF474" s="1">
        <v>-40.331665</v>
      </c>
      <c r="AG474" s="1">
        <v>-22.254168</v>
      </c>
      <c r="AH474" s="1" t="s">
        <v>2130</v>
      </c>
      <c r="AI474" s="1"/>
      <c r="AJ474" s="1" t="s">
        <v>172</v>
      </c>
      <c r="AK474" s="1"/>
      <c r="AL474" s="1" t="s">
        <v>79</v>
      </c>
      <c r="AM474" s="1" t="s">
        <v>65</v>
      </c>
      <c r="AN474" s="1" t="s">
        <v>720</v>
      </c>
      <c r="AO474" s="2">
        <v>44076.0</v>
      </c>
      <c r="AP474" s="2">
        <v>44076.3857291667</v>
      </c>
      <c r="AQ474" s="1" t="s">
        <v>80</v>
      </c>
      <c r="AR474" s="1" t="s">
        <v>1485</v>
      </c>
      <c r="AS474" s="1" t="s">
        <v>1361</v>
      </c>
      <c r="AT474" s="2">
        <v>44269.931099537</v>
      </c>
    </row>
    <row r="475" ht="13.5" customHeight="1">
      <c r="A475" s="1">
        <v>2039941.0</v>
      </c>
      <c r="B475" s="1" t="s">
        <v>67</v>
      </c>
      <c r="C475" s="1" t="s">
        <v>68</v>
      </c>
      <c r="D475" s="1" t="s">
        <v>46</v>
      </c>
      <c r="E475" s="1" t="s">
        <v>2314</v>
      </c>
      <c r="F475" s="1"/>
      <c r="G475" s="1" t="s">
        <v>70</v>
      </c>
      <c r="H475" s="1" t="s">
        <v>50</v>
      </c>
      <c r="I475" s="1">
        <v>100000.0</v>
      </c>
      <c r="J475" s="1"/>
      <c r="K475" s="1"/>
      <c r="L475" s="1" t="s">
        <v>172</v>
      </c>
      <c r="M475" s="1" t="s">
        <v>2315</v>
      </c>
      <c r="N475" s="1" t="s">
        <v>283</v>
      </c>
      <c r="O475" s="1" t="s">
        <v>1133</v>
      </c>
      <c r="P475" s="2">
        <v>43809.375</v>
      </c>
      <c r="Q475" s="1" t="s">
        <v>74</v>
      </c>
      <c r="R475" s="1"/>
      <c r="S475" s="1"/>
      <c r="T475" s="1">
        <v>3302403.0</v>
      </c>
      <c r="U475" s="1" t="s">
        <v>1371</v>
      </c>
      <c r="V475" s="1" t="s">
        <v>287</v>
      </c>
      <c r="W475" s="1" t="s">
        <v>288</v>
      </c>
      <c r="X475" s="1"/>
      <c r="Y475" s="1" t="str">
        <f>"02001035318201945"</f>
        <v>02001035318201945</v>
      </c>
      <c r="Z475" s="1" t="s">
        <v>128</v>
      </c>
      <c r="AA475" s="1" t="s">
        <v>1449</v>
      </c>
      <c r="AB475" s="1" t="str">
        <f t="shared" si="24"/>
        <v>33000167100750</v>
      </c>
      <c r="AC475" s="1"/>
      <c r="AD475" s="1"/>
      <c r="AE475" s="1"/>
      <c r="AF475" s="1">
        <v>-40.331665</v>
      </c>
      <c r="AG475" s="1">
        <v>-22.254168</v>
      </c>
      <c r="AH475" s="1" t="s">
        <v>2130</v>
      </c>
      <c r="AI475" s="1"/>
      <c r="AJ475" s="1" t="s">
        <v>172</v>
      </c>
      <c r="AK475" s="1"/>
      <c r="AL475" s="1" t="s">
        <v>79</v>
      </c>
      <c r="AM475" s="1" t="s">
        <v>65</v>
      </c>
      <c r="AN475" s="1" t="s">
        <v>720</v>
      </c>
      <c r="AO475" s="2">
        <v>44078.0</v>
      </c>
      <c r="AP475" s="2">
        <v>44078.3865972222</v>
      </c>
      <c r="AQ475" s="1" t="s">
        <v>80</v>
      </c>
      <c r="AR475" s="1" t="s">
        <v>1485</v>
      </c>
      <c r="AS475" s="1" t="s">
        <v>1361</v>
      </c>
      <c r="AT475" s="2">
        <v>44269.931099537</v>
      </c>
    </row>
    <row r="476" ht="13.5" customHeight="1">
      <c r="A476" s="1">
        <v>2039945.0</v>
      </c>
      <c r="B476" s="1" t="s">
        <v>67</v>
      </c>
      <c r="C476" s="1" t="s">
        <v>68</v>
      </c>
      <c r="D476" s="1" t="s">
        <v>46</v>
      </c>
      <c r="E476" s="1" t="s">
        <v>2316</v>
      </c>
      <c r="F476" s="1"/>
      <c r="G476" s="1" t="s">
        <v>70</v>
      </c>
      <c r="H476" s="1" t="s">
        <v>50</v>
      </c>
      <c r="I476" s="1">
        <v>100000.0</v>
      </c>
      <c r="J476" s="1"/>
      <c r="K476" s="1"/>
      <c r="L476" s="1" t="s">
        <v>172</v>
      </c>
      <c r="M476" s="1" t="s">
        <v>2317</v>
      </c>
      <c r="N476" s="1" t="s">
        <v>283</v>
      </c>
      <c r="O476" s="1" t="s">
        <v>1133</v>
      </c>
      <c r="P476" s="2">
        <v>43809.375</v>
      </c>
      <c r="Q476" s="1" t="s">
        <v>74</v>
      </c>
      <c r="R476" s="1"/>
      <c r="S476" s="1"/>
      <c r="T476" s="1">
        <v>3302403.0</v>
      </c>
      <c r="U476" s="1" t="s">
        <v>1371</v>
      </c>
      <c r="V476" s="1" t="s">
        <v>287</v>
      </c>
      <c r="W476" s="1" t="s">
        <v>288</v>
      </c>
      <c r="X476" s="1"/>
      <c r="Y476" s="1" t="str">
        <f>"02001035315201910"</f>
        <v>02001035315201910</v>
      </c>
      <c r="Z476" s="1" t="s">
        <v>128</v>
      </c>
      <c r="AA476" s="1" t="s">
        <v>1449</v>
      </c>
      <c r="AB476" s="1" t="str">
        <f t="shared" si="24"/>
        <v>33000167100750</v>
      </c>
      <c r="AC476" s="1"/>
      <c r="AD476" s="1"/>
      <c r="AE476" s="1"/>
      <c r="AF476" s="1">
        <v>-40.331665</v>
      </c>
      <c r="AG476" s="1">
        <v>-22.254168</v>
      </c>
      <c r="AH476" s="1" t="s">
        <v>2130</v>
      </c>
      <c r="AI476" s="1"/>
      <c r="AJ476" s="1" t="s">
        <v>172</v>
      </c>
      <c r="AK476" s="1"/>
      <c r="AL476" s="1" t="s">
        <v>79</v>
      </c>
      <c r="AM476" s="1" t="s">
        <v>65</v>
      </c>
      <c r="AN476" s="1" t="s">
        <v>720</v>
      </c>
      <c r="AO476" s="2">
        <v>44078.0</v>
      </c>
      <c r="AP476" s="2">
        <v>44078.4386921296</v>
      </c>
      <c r="AQ476" s="1" t="s">
        <v>80</v>
      </c>
      <c r="AR476" s="1" t="s">
        <v>1485</v>
      </c>
      <c r="AS476" s="1"/>
      <c r="AT476" s="2">
        <v>44269.931099537</v>
      </c>
    </row>
    <row r="477" ht="13.5" customHeight="1">
      <c r="A477" s="1">
        <v>2040050.0</v>
      </c>
      <c r="B477" s="1" t="s">
        <v>67</v>
      </c>
      <c r="C477" s="1" t="s">
        <v>68</v>
      </c>
      <c r="D477" s="1" t="s">
        <v>46</v>
      </c>
      <c r="E477" s="1" t="s">
        <v>2318</v>
      </c>
      <c r="F477" s="1"/>
      <c r="G477" s="1" t="s">
        <v>70</v>
      </c>
      <c r="H477" s="1" t="s">
        <v>50</v>
      </c>
      <c r="I477" s="1">
        <v>100000.0</v>
      </c>
      <c r="J477" s="1"/>
      <c r="K477" s="1"/>
      <c r="L477" s="1" t="s">
        <v>172</v>
      </c>
      <c r="M477" s="1" t="s">
        <v>2319</v>
      </c>
      <c r="N477" s="1" t="s">
        <v>283</v>
      </c>
      <c r="O477" s="1" t="s">
        <v>1133</v>
      </c>
      <c r="P477" s="2">
        <v>43809.375</v>
      </c>
      <c r="Q477" s="1" t="s">
        <v>74</v>
      </c>
      <c r="R477" s="1"/>
      <c r="S477" s="1"/>
      <c r="T477" s="1">
        <v>3302403.0</v>
      </c>
      <c r="U477" s="1" t="s">
        <v>1371</v>
      </c>
      <c r="V477" s="1" t="s">
        <v>287</v>
      </c>
      <c r="W477" s="1" t="s">
        <v>288</v>
      </c>
      <c r="X477" s="1"/>
      <c r="Y477" s="1" t="str">
        <f>"02001035316201956"</f>
        <v>02001035316201956</v>
      </c>
      <c r="Z477" s="1" t="s">
        <v>128</v>
      </c>
      <c r="AA477" s="1" t="s">
        <v>1449</v>
      </c>
      <c r="AB477" s="1" t="str">
        <f t="shared" si="24"/>
        <v>33000167100750</v>
      </c>
      <c r="AC477" s="1"/>
      <c r="AD477" s="1"/>
      <c r="AE477" s="1"/>
      <c r="AF477" s="1">
        <v>-40.331665</v>
      </c>
      <c r="AG477" s="1">
        <v>-22.254168</v>
      </c>
      <c r="AH477" s="1" t="s">
        <v>2130</v>
      </c>
      <c r="AI477" s="1"/>
      <c r="AJ477" s="1" t="s">
        <v>172</v>
      </c>
      <c r="AK477" s="1"/>
      <c r="AL477" s="1" t="s">
        <v>79</v>
      </c>
      <c r="AM477" s="1" t="s">
        <v>65</v>
      </c>
      <c r="AN477" s="1" t="s">
        <v>720</v>
      </c>
      <c r="AO477" s="2">
        <v>44084.0</v>
      </c>
      <c r="AP477" s="2">
        <v>44084.689525463</v>
      </c>
      <c r="AQ477" s="1" t="s">
        <v>80</v>
      </c>
      <c r="AR477" s="1" t="s">
        <v>1485</v>
      </c>
      <c r="AS477" s="1" t="s">
        <v>1361</v>
      </c>
      <c r="AT477" s="2">
        <v>44269.931099537</v>
      </c>
    </row>
    <row r="478" ht="13.5" customHeight="1">
      <c r="A478" s="1">
        <v>2043205.0</v>
      </c>
      <c r="B478" s="1" t="s">
        <v>67</v>
      </c>
      <c r="C478" s="1" t="s">
        <v>68</v>
      </c>
      <c r="D478" s="1" t="s">
        <v>46</v>
      </c>
      <c r="E478" s="1" t="s">
        <v>2320</v>
      </c>
      <c r="F478" s="1"/>
      <c r="G478" s="1" t="s">
        <v>70</v>
      </c>
      <c r="H478" s="1" t="s">
        <v>93</v>
      </c>
      <c r="I478" s="1">
        <v>8430.0</v>
      </c>
      <c r="J478" s="1"/>
      <c r="K478" s="1"/>
      <c r="L478" s="1" t="s">
        <v>569</v>
      </c>
      <c r="M478" s="1" t="s">
        <v>2321</v>
      </c>
      <c r="N478" s="1" t="s">
        <v>142</v>
      </c>
      <c r="O478" s="1" t="s">
        <v>143</v>
      </c>
      <c r="P478" s="2">
        <v>43809.0416666667</v>
      </c>
      <c r="Q478" s="1" t="s">
        <v>55</v>
      </c>
      <c r="R478" s="1"/>
      <c r="S478" s="1"/>
      <c r="T478" s="1">
        <v>2800308.0</v>
      </c>
      <c r="U478" s="1" t="s">
        <v>1901</v>
      </c>
      <c r="V478" s="1" t="s">
        <v>566</v>
      </c>
      <c r="W478" s="1" t="s">
        <v>177</v>
      </c>
      <c r="X478" s="1"/>
      <c r="Y478" s="1" t="str">
        <f>"02028001761201914"</f>
        <v>02028001761201914</v>
      </c>
      <c r="Z478" s="1" t="s">
        <v>147</v>
      </c>
      <c r="AA478" s="1" t="s">
        <v>2322</v>
      </c>
      <c r="AB478" s="1" t="str">
        <f>"04331629000175"</f>
        <v>04331629000175</v>
      </c>
      <c r="AC478" s="1"/>
      <c r="AD478" s="1"/>
      <c r="AE478" s="1"/>
      <c r="AF478" s="1">
        <v>-37.093609</v>
      </c>
      <c r="AG478" s="1">
        <v>-10.910277</v>
      </c>
      <c r="AH478" s="1" t="s">
        <v>2323</v>
      </c>
      <c r="AI478" s="1"/>
      <c r="AJ478" s="1" t="s">
        <v>569</v>
      </c>
      <c r="AK478" s="1"/>
      <c r="AL478" s="1" t="s">
        <v>79</v>
      </c>
      <c r="AM478" s="1" t="s">
        <v>65</v>
      </c>
      <c r="AN478" s="1" t="s">
        <v>570</v>
      </c>
      <c r="AO478" s="2">
        <v>44230.0</v>
      </c>
      <c r="AP478" s="2">
        <v>44230.6584606482</v>
      </c>
      <c r="AQ478" s="1" t="s">
        <v>80</v>
      </c>
      <c r="AR478" s="1" t="s">
        <v>1291</v>
      </c>
      <c r="AS478" s="1" t="s">
        <v>2324</v>
      </c>
      <c r="AT478" s="2">
        <v>44269.931099537</v>
      </c>
    </row>
    <row r="479" ht="13.5" customHeight="1">
      <c r="A479" s="1"/>
      <c r="B479" s="1" t="s">
        <v>46</v>
      </c>
      <c r="C479" s="1" t="s">
        <v>47</v>
      </c>
      <c r="D479" s="1"/>
      <c r="E479" s="1" t="s">
        <v>2325</v>
      </c>
      <c r="F479" s="1"/>
      <c r="G479" s="1" t="s">
        <v>49</v>
      </c>
      <c r="H479" s="1" t="s">
        <v>93</v>
      </c>
      <c r="I479" s="1">
        <v>20000.0</v>
      </c>
      <c r="J479" s="1"/>
      <c r="K479" s="1" t="s">
        <v>51</v>
      </c>
      <c r="L479" s="1"/>
      <c r="M479" s="1" t="s">
        <v>2326</v>
      </c>
      <c r="N479" s="1" t="s">
        <v>142</v>
      </c>
      <c r="O479" s="1" t="s">
        <v>143</v>
      </c>
      <c r="P479" s="2">
        <v>43808.8993634259</v>
      </c>
      <c r="Q479" s="1" t="s">
        <v>373</v>
      </c>
      <c r="R479" s="1"/>
      <c r="S479" s="1"/>
      <c r="T479" s="1">
        <v>1100080.0</v>
      </c>
      <c r="U479" s="1" t="s">
        <v>1392</v>
      </c>
      <c r="V479" s="1" t="s">
        <v>448</v>
      </c>
      <c r="W479" s="1" t="s">
        <v>177</v>
      </c>
      <c r="X479" s="1"/>
      <c r="Y479" s="1"/>
      <c r="Z479" s="1" t="s">
        <v>147</v>
      </c>
      <c r="AA479" s="1" t="s">
        <v>2327</v>
      </c>
      <c r="AB479" s="1" t="str">
        <f>"***808492**"</f>
        <v>***808492**</v>
      </c>
      <c r="AC479" s="1"/>
      <c r="AD479" s="1" t="s">
        <v>116</v>
      </c>
      <c r="AE479" s="1"/>
      <c r="AF479" s="1">
        <v>-64.027504</v>
      </c>
      <c r="AG479" s="1">
        <v>-12.364167</v>
      </c>
      <c r="AH479" s="1" t="s">
        <v>2328</v>
      </c>
      <c r="AI479" s="1"/>
      <c r="AJ479" s="1" t="s">
        <v>172</v>
      </c>
      <c r="AK479" s="1"/>
      <c r="AL479" s="1"/>
      <c r="AM479" s="1" t="s">
        <v>65</v>
      </c>
      <c r="AN479" s="1" t="s">
        <v>1395</v>
      </c>
      <c r="AO479" s="1"/>
      <c r="AP479" s="2">
        <v>43808.9054282407</v>
      </c>
      <c r="AQ479" s="1"/>
      <c r="AR479" s="1" t="s">
        <v>793</v>
      </c>
      <c r="AS479" s="1"/>
      <c r="AT479" s="2">
        <v>44269.931099537</v>
      </c>
    </row>
    <row r="480" ht="13.5" customHeight="1">
      <c r="A480" s="1"/>
      <c r="B480" s="1" t="s">
        <v>46</v>
      </c>
      <c r="C480" s="1" t="s">
        <v>47</v>
      </c>
      <c r="D480" s="1"/>
      <c r="E480" s="1" t="s">
        <v>2329</v>
      </c>
      <c r="F480" s="1"/>
      <c r="G480" s="1" t="s">
        <v>49</v>
      </c>
      <c r="H480" s="1" t="s">
        <v>50</v>
      </c>
      <c r="I480" s="1">
        <v>26000.0</v>
      </c>
      <c r="J480" s="1"/>
      <c r="K480" s="1" t="s">
        <v>51</v>
      </c>
      <c r="L480" s="1"/>
      <c r="M480" s="1" t="s">
        <v>2330</v>
      </c>
      <c r="N480" s="1" t="s">
        <v>977</v>
      </c>
      <c r="O480" s="1" t="s">
        <v>978</v>
      </c>
      <c r="P480" s="2">
        <v>43808.8871180556</v>
      </c>
      <c r="Q480" s="1" t="s">
        <v>74</v>
      </c>
      <c r="R480" s="1"/>
      <c r="S480" s="1"/>
      <c r="T480" s="1">
        <v>3304557.0</v>
      </c>
      <c r="U480" s="1" t="s">
        <v>286</v>
      </c>
      <c r="V480" s="1" t="s">
        <v>287</v>
      </c>
      <c r="W480" s="1" t="s">
        <v>288</v>
      </c>
      <c r="X480" s="1"/>
      <c r="Y480" s="1"/>
      <c r="Z480" s="1" t="s">
        <v>980</v>
      </c>
      <c r="AA480" s="1" t="s">
        <v>2331</v>
      </c>
      <c r="AB480" s="1" t="str">
        <f>"04336088000178"</f>
        <v>04336088000178</v>
      </c>
      <c r="AC480" s="1"/>
      <c r="AD480" s="1" t="s">
        <v>149</v>
      </c>
      <c r="AE480" s="1"/>
      <c r="AF480" s="1">
        <v>-43.171391</v>
      </c>
      <c r="AG480" s="1">
        <v>-22.904999</v>
      </c>
      <c r="AH480" s="1" t="s">
        <v>290</v>
      </c>
      <c r="AI480" s="1"/>
      <c r="AJ480" s="1" t="s">
        <v>291</v>
      </c>
      <c r="AK480" s="1"/>
      <c r="AL480" s="1"/>
      <c r="AM480" s="1" t="s">
        <v>65</v>
      </c>
      <c r="AN480" s="1" t="s">
        <v>292</v>
      </c>
      <c r="AO480" s="1"/>
      <c r="AP480" s="2">
        <v>44193.5948611111</v>
      </c>
      <c r="AQ480" s="1"/>
      <c r="AR480" s="1" t="s">
        <v>293</v>
      </c>
      <c r="AS480" s="1" t="s">
        <v>2332</v>
      </c>
      <c r="AT480" s="2">
        <v>44269.931099537</v>
      </c>
    </row>
    <row r="481" ht="13.5" customHeight="1">
      <c r="A481" s="1"/>
      <c r="B481" s="1" t="s">
        <v>46</v>
      </c>
      <c r="C481" s="1" t="s">
        <v>47</v>
      </c>
      <c r="D481" s="1"/>
      <c r="E481" s="1" t="s">
        <v>2333</v>
      </c>
      <c r="F481" s="1"/>
      <c r="G481" s="1" t="s">
        <v>49</v>
      </c>
      <c r="H481" s="1" t="s">
        <v>93</v>
      </c>
      <c r="I481" s="1">
        <v>225000.0</v>
      </c>
      <c r="J481" s="1"/>
      <c r="K481" s="1"/>
      <c r="L481" s="1"/>
      <c r="M481" s="1" t="s">
        <v>2334</v>
      </c>
      <c r="N481" s="1" t="s">
        <v>142</v>
      </c>
      <c r="O481" s="1" t="s">
        <v>143</v>
      </c>
      <c r="P481" s="2">
        <v>43808.8171180556</v>
      </c>
      <c r="Q481" s="1" t="s">
        <v>74</v>
      </c>
      <c r="R481" s="1"/>
      <c r="S481" s="1"/>
      <c r="T481" s="1">
        <v>1504752.0</v>
      </c>
      <c r="U481" s="1" t="s">
        <v>2043</v>
      </c>
      <c r="V481" s="1" t="s">
        <v>193</v>
      </c>
      <c r="W481" s="1" t="s">
        <v>177</v>
      </c>
      <c r="X481" s="1"/>
      <c r="Y481" s="1"/>
      <c r="Z481" s="1" t="s">
        <v>147</v>
      </c>
      <c r="AA481" s="1" t="s">
        <v>2335</v>
      </c>
      <c r="AB481" s="1" t="str">
        <f>"***929302**"</f>
        <v>***929302**</v>
      </c>
      <c r="AC481" s="1">
        <v>0.0</v>
      </c>
      <c r="AD481" s="1" t="s">
        <v>116</v>
      </c>
      <c r="AE481" s="1"/>
      <c r="AF481" s="1">
        <v>-54.55611</v>
      </c>
      <c r="AG481" s="1">
        <v>-3.071944</v>
      </c>
      <c r="AH481" s="1" t="s">
        <v>2336</v>
      </c>
      <c r="AI481" s="1"/>
      <c r="AJ481" s="1" t="s">
        <v>172</v>
      </c>
      <c r="AK481" s="1"/>
      <c r="AL481" s="1"/>
      <c r="AM481" s="1" t="s">
        <v>65</v>
      </c>
      <c r="AN481" s="1" t="s">
        <v>1395</v>
      </c>
      <c r="AO481" s="1"/>
      <c r="AP481" s="2">
        <v>43808.8471759259</v>
      </c>
      <c r="AQ481" s="1"/>
      <c r="AR481" s="1" t="s">
        <v>644</v>
      </c>
      <c r="AS481" s="1"/>
      <c r="AT481" s="2">
        <v>44269.931099537</v>
      </c>
    </row>
    <row r="482" ht="13.5" customHeight="1">
      <c r="A482" s="1"/>
      <c r="B482" s="1" t="s">
        <v>46</v>
      </c>
      <c r="C482" s="1" t="s">
        <v>47</v>
      </c>
      <c r="D482" s="1"/>
      <c r="E482" s="1" t="s">
        <v>2337</v>
      </c>
      <c r="F482" s="1"/>
      <c r="G482" s="1" t="s">
        <v>49</v>
      </c>
      <c r="H482" s="1" t="s">
        <v>93</v>
      </c>
      <c r="I482" s="1">
        <v>75000.0</v>
      </c>
      <c r="J482" s="1"/>
      <c r="K482" s="1"/>
      <c r="L482" s="1"/>
      <c r="M482" s="1" t="s">
        <v>2338</v>
      </c>
      <c r="N482" s="1" t="s">
        <v>95</v>
      </c>
      <c r="O482" s="1" t="s">
        <v>96</v>
      </c>
      <c r="P482" s="2">
        <v>43808.8059953704</v>
      </c>
      <c r="Q482" s="1" t="s">
        <v>74</v>
      </c>
      <c r="R482" s="3">
        <v>43815.0</v>
      </c>
      <c r="S482" s="1"/>
      <c r="T482" s="1">
        <v>3509502.0</v>
      </c>
      <c r="U482" s="1" t="s">
        <v>97</v>
      </c>
      <c r="V482" s="1" t="s">
        <v>58</v>
      </c>
      <c r="W482" s="1" t="s">
        <v>59</v>
      </c>
      <c r="X482" s="1"/>
      <c r="Y482" s="1"/>
      <c r="Z482" s="1" t="s">
        <v>98</v>
      </c>
      <c r="AA482" s="1" t="s">
        <v>2202</v>
      </c>
      <c r="AB482" s="1" t="str">
        <f>"48031918001872"</f>
        <v>48031918001872</v>
      </c>
      <c r="AC482" s="1"/>
      <c r="AD482" s="1" t="s">
        <v>62</v>
      </c>
      <c r="AE482" s="1"/>
      <c r="AF482" s="1">
        <v>-47.144169</v>
      </c>
      <c r="AG482" s="1">
        <v>-23.007778</v>
      </c>
      <c r="AH482" s="1" t="s">
        <v>2339</v>
      </c>
      <c r="AI482" s="1"/>
      <c r="AJ482" s="1" t="s">
        <v>101</v>
      </c>
      <c r="AK482" s="1"/>
      <c r="AL482" s="1"/>
      <c r="AM482" s="1" t="s">
        <v>65</v>
      </c>
      <c r="AN482" s="1" t="s">
        <v>102</v>
      </c>
      <c r="AO482" s="1"/>
      <c r="AP482" s="2">
        <v>43808.8239351852</v>
      </c>
      <c r="AQ482" s="1"/>
      <c r="AR482" s="1" t="s">
        <v>2340</v>
      </c>
      <c r="AS482" s="1"/>
      <c r="AT482" s="2">
        <v>44269.931099537</v>
      </c>
    </row>
    <row r="483" ht="13.5" customHeight="1">
      <c r="A483" s="1"/>
      <c r="B483" s="1" t="s">
        <v>46</v>
      </c>
      <c r="C483" s="1" t="s">
        <v>47</v>
      </c>
      <c r="D483" s="1"/>
      <c r="E483" s="1" t="s">
        <v>2341</v>
      </c>
      <c r="F483" s="1"/>
      <c r="G483" s="1" t="s">
        <v>49</v>
      </c>
      <c r="H483" s="1" t="s">
        <v>50</v>
      </c>
      <c r="I483" s="1">
        <v>1400000.0</v>
      </c>
      <c r="J483" s="1"/>
      <c r="K483" s="1" t="s">
        <v>51</v>
      </c>
      <c r="L483" s="1"/>
      <c r="M483" s="1" t="s">
        <v>2342</v>
      </c>
      <c r="N483" s="1" t="s">
        <v>283</v>
      </c>
      <c r="O483" s="1" t="s">
        <v>1133</v>
      </c>
      <c r="P483" s="2">
        <v>43808.7691666667</v>
      </c>
      <c r="Q483" s="1" t="s">
        <v>74</v>
      </c>
      <c r="R483" s="1"/>
      <c r="S483" s="1"/>
      <c r="T483" s="1">
        <v>3302403.0</v>
      </c>
      <c r="U483" s="1" t="s">
        <v>1371</v>
      </c>
      <c r="V483" s="1" t="s">
        <v>287</v>
      </c>
      <c r="W483" s="1" t="s">
        <v>288</v>
      </c>
      <c r="X483" s="1"/>
      <c r="Y483" s="1"/>
      <c r="Z483" s="1" t="s">
        <v>128</v>
      </c>
      <c r="AA483" s="1" t="s">
        <v>1449</v>
      </c>
      <c r="AB483" s="1" t="str">
        <f>"33000167100750"</f>
        <v>33000167100750</v>
      </c>
      <c r="AC483" s="1"/>
      <c r="AD483" s="1" t="s">
        <v>149</v>
      </c>
      <c r="AE483" s="1"/>
      <c r="AF483" s="1">
        <v>-40.416946</v>
      </c>
      <c r="AG483" s="1">
        <v>-22.374166</v>
      </c>
      <c r="AH483" s="1" t="s">
        <v>2297</v>
      </c>
      <c r="AI483" s="1"/>
      <c r="AJ483" s="1" t="s">
        <v>172</v>
      </c>
      <c r="AK483" s="1"/>
      <c r="AL483" s="1"/>
      <c r="AM483" s="1" t="s">
        <v>65</v>
      </c>
      <c r="AN483" s="1" t="s">
        <v>720</v>
      </c>
      <c r="AO483" s="1"/>
      <c r="AP483" s="2">
        <v>44013.7193287037</v>
      </c>
      <c r="AQ483" s="1"/>
      <c r="AR483" s="1" t="s">
        <v>1360</v>
      </c>
      <c r="AS483" s="1" t="s">
        <v>1361</v>
      </c>
      <c r="AT483" s="2">
        <v>44269.931099537</v>
      </c>
    </row>
    <row r="484" ht="13.5" customHeight="1">
      <c r="A484" s="1"/>
      <c r="B484" s="1" t="s">
        <v>46</v>
      </c>
      <c r="C484" s="1" t="s">
        <v>47</v>
      </c>
      <c r="D484" s="1"/>
      <c r="E484" s="1" t="s">
        <v>2343</v>
      </c>
      <c r="F484" s="1"/>
      <c r="G484" s="1" t="s">
        <v>49</v>
      </c>
      <c r="H484" s="1" t="s">
        <v>50</v>
      </c>
      <c r="I484" s="1">
        <v>56000.0</v>
      </c>
      <c r="J484" s="1"/>
      <c r="K484" s="1" t="s">
        <v>51</v>
      </c>
      <c r="L484" s="1"/>
      <c r="M484" s="1" t="s">
        <v>2344</v>
      </c>
      <c r="N484" s="1" t="s">
        <v>977</v>
      </c>
      <c r="O484" s="1" t="s">
        <v>978</v>
      </c>
      <c r="P484" s="2">
        <v>43808.7637384259</v>
      </c>
      <c r="Q484" s="1" t="s">
        <v>74</v>
      </c>
      <c r="R484" s="1"/>
      <c r="S484" s="1"/>
      <c r="T484" s="1">
        <v>3304557.0</v>
      </c>
      <c r="U484" s="1" t="s">
        <v>286</v>
      </c>
      <c r="V484" s="1" t="s">
        <v>287</v>
      </c>
      <c r="W484" s="1" t="s">
        <v>288</v>
      </c>
      <c r="X484" s="1"/>
      <c r="Y484" s="1"/>
      <c r="Z484" s="1" t="s">
        <v>980</v>
      </c>
      <c r="AA484" s="1" t="s">
        <v>2345</v>
      </c>
      <c r="AB484" s="1" t="str">
        <f>"30521090001107"</f>
        <v>30521090001107</v>
      </c>
      <c r="AC484" s="1"/>
      <c r="AD484" s="1" t="s">
        <v>149</v>
      </c>
      <c r="AE484" s="1"/>
      <c r="AF484" s="1">
        <v>-43.171391</v>
      </c>
      <c r="AG484" s="1">
        <v>-22.904999</v>
      </c>
      <c r="AH484" s="1" t="s">
        <v>290</v>
      </c>
      <c r="AI484" s="1"/>
      <c r="AJ484" s="1" t="s">
        <v>291</v>
      </c>
      <c r="AK484" s="1"/>
      <c r="AL484" s="1"/>
      <c r="AM484" s="1" t="s">
        <v>65</v>
      </c>
      <c r="AN484" s="1" t="s">
        <v>292</v>
      </c>
      <c r="AO484" s="1"/>
      <c r="AP484" s="2">
        <v>44193.5947800926</v>
      </c>
      <c r="AQ484" s="1"/>
      <c r="AR484" s="1" t="s">
        <v>293</v>
      </c>
      <c r="AS484" s="1" t="s">
        <v>2346</v>
      </c>
      <c r="AT484" s="2">
        <v>44269.931099537</v>
      </c>
    </row>
    <row r="485" ht="13.5" customHeight="1">
      <c r="A485" s="1"/>
      <c r="B485" s="1" t="s">
        <v>46</v>
      </c>
      <c r="C485" s="1" t="s">
        <v>47</v>
      </c>
      <c r="D485" s="1"/>
      <c r="E485" s="1" t="s">
        <v>2347</v>
      </c>
      <c r="F485" s="1"/>
      <c r="G485" s="1" t="s">
        <v>49</v>
      </c>
      <c r="H485" s="1" t="s">
        <v>50</v>
      </c>
      <c r="I485" s="1">
        <v>100000.0</v>
      </c>
      <c r="J485" s="1"/>
      <c r="K485" s="1" t="s">
        <v>51</v>
      </c>
      <c r="L485" s="1"/>
      <c r="M485" s="1" t="s">
        <v>2348</v>
      </c>
      <c r="N485" s="1" t="s">
        <v>283</v>
      </c>
      <c r="O485" s="1" t="s">
        <v>1133</v>
      </c>
      <c r="P485" s="2">
        <v>43808.7416319444</v>
      </c>
      <c r="Q485" s="1" t="s">
        <v>74</v>
      </c>
      <c r="R485" s="1"/>
      <c r="S485" s="1"/>
      <c r="T485" s="1">
        <v>3302403.0</v>
      </c>
      <c r="U485" s="1" t="s">
        <v>1371</v>
      </c>
      <c r="V485" s="1" t="s">
        <v>287</v>
      </c>
      <c r="W485" s="1" t="s">
        <v>288</v>
      </c>
      <c r="X485" s="1"/>
      <c r="Y485" s="1"/>
      <c r="Z485" s="1" t="s">
        <v>128</v>
      </c>
      <c r="AA485" s="1" t="s">
        <v>2349</v>
      </c>
      <c r="AB485" s="1" t="str">
        <f>"33000167100750"</f>
        <v>33000167100750</v>
      </c>
      <c r="AC485" s="1"/>
      <c r="AD485" s="1" t="s">
        <v>149</v>
      </c>
      <c r="AE485" s="1"/>
      <c r="AF485" s="1">
        <v>-40.331944</v>
      </c>
      <c r="AG485" s="1">
        <v>-22.255278</v>
      </c>
      <c r="AH485" s="1" t="s">
        <v>2130</v>
      </c>
      <c r="AI485" s="1"/>
      <c r="AJ485" s="1" t="s">
        <v>172</v>
      </c>
      <c r="AK485" s="1"/>
      <c r="AL485" s="1"/>
      <c r="AM485" s="1" t="s">
        <v>65</v>
      </c>
      <c r="AN485" s="1" t="s">
        <v>720</v>
      </c>
      <c r="AO485" s="1"/>
      <c r="AP485" s="2">
        <v>44013.7194328704</v>
      </c>
      <c r="AQ485" s="1"/>
      <c r="AR485" s="1" t="s">
        <v>1360</v>
      </c>
      <c r="AS485" s="1" t="s">
        <v>1361</v>
      </c>
      <c r="AT485" s="2">
        <v>44269.931099537</v>
      </c>
    </row>
    <row r="486" ht="13.5" customHeight="1">
      <c r="A486" s="1">
        <v>2036085.0</v>
      </c>
      <c r="B486" s="1" t="s">
        <v>67</v>
      </c>
      <c r="C486" s="1" t="s">
        <v>68</v>
      </c>
      <c r="D486" s="1" t="s">
        <v>46</v>
      </c>
      <c r="E486" s="1" t="s">
        <v>2350</v>
      </c>
      <c r="F486" s="1"/>
      <c r="G486" s="1" t="s">
        <v>70</v>
      </c>
      <c r="H486" s="1" t="s">
        <v>93</v>
      </c>
      <c r="I486" s="1">
        <v>2000.0</v>
      </c>
      <c r="J486" s="1"/>
      <c r="K486" s="1"/>
      <c r="L486" s="1" t="s">
        <v>106</v>
      </c>
      <c r="M486" s="1" t="s">
        <v>2351</v>
      </c>
      <c r="N486" s="1" t="s">
        <v>108</v>
      </c>
      <c r="O486" s="1" t="s">
        <v>109</v>
      </c>
      <c r="P486" s="2">
        <v>43808.7347222222</v>
      </c>
      <c r="Q486" s="1" t="s">
        <v>74</v>
      </c>
      <c r="R486" s="1"/>
      <c r="S486" s="1"/>
      <c r="T486" s="1">
        <v>2304400.0</v>
      </c>
      <c r="U486" s="1" t="s">
        <v>111</v>
      </c>
      <c r="V486" s="1" t="s">
        <v>112</v>
      </c>
      <c r="W486" s="1" t="s">
        <v>113</v>
      </c>
      <c r="X486" s="1"/>
      <c r="Y486" s="1" t="str">
        <f>"02007004107201919"</f>
        <v>02007004107201919</v>
      </c>
      <c r="Z486" s="1" t="s">
        <v>114</v>
      </c>
      <c r="AA486" s="1" t="s">
        <v>2352</v>
      </c>
      <c r="AB486" s="1" t="str">
        <f>"04463469000118"</f>
        <v>04463469000118</v>
      </c>
      <c r="AC486" s="1"/>
      <c r="AD486" s="1" t="s">
        <v>116</v>
      </c>
      <c r="AE486" s="1"/>
      <c r="AF486" s="1">
        <v>0.0</v>
      </c>
      <c r="AG486" s="1">
        <v>0.0</v>
      </c>
      <c r="AH486" s="1" t="s">
        <v>117</v>
      </c>
      <c r="AI486" s="1"/>
      <c r="AJ486" s="1"/>
      <c r="AK486" s="1"/>
      <c r="AL486" s="1" t="s">
        <v>118</v>
      </c>
      <c r="AM486" s="1"/>
      <c r="AN486" s="1"/>
      <c r="AO486" s="2">
        <v>43934.5786458333</v>
      </c>
      <c r="AP486" s="2">
        <v>43934.5786458333</v>
      </c>
      <c r="AQ486" s="1" t="s">
        <v>80</v>
      </c>
      <c r="AR486" s="1" t="s">
        <v>119</v>
      </c>
      <c r="AS486" s="1"/>
      <c r="AT486" s="2">
        <v>44269.931099537</v>
      </c>
    </row>
    <row r="487" ht="13.5" customHeight="1">
      <c r="A487" s="1"/>
      <c r="B487" s="1" t="s">
        <v>46</v>
      </c>
      <c r="C487" s="1" t="s">
        <v>47</v>
      </c>
      <c r="D487" s="1"/>
      <c r="E487" s="1" t="s">
        <v>2353</v>
      </c>
      <c r="F487" s="1"/>
      <c r="G487" s="1" t="s">
        <v>49</v>
      </c>
      <c r="H487" s="1" t="s">
        <v>93</v>
      </c>
      <c r="I487" s="1">
        <v>5000.0</v>
      </c>
      <c r="J487" s="1"/>
      <c r="K487" s="1"/>
      <c r="L487" s="1"/>
      <c r="M487" s="1" t="s">
        <v>2354</v>
      </c>
      <c r="N487" s="1" t="s">
        <v>95</v>
      </c>
      <c r="O487" s="1" t="s">
        <v>96</v>
      </c>
      <c r="P487" s="2">
        <v>43808.7147800926</v>
      </c>
      <c r="Q487" s="1" t="s">
        <v>74</v>
      </c>
      <c r="R487" s="3">
        <v>43809.0</v>
      </c>
      <c r="S487" s="1"/>
      <c r="T487" s="1">
        <v>3509502.0</v>
      </c>
      <c r="U487" s="1" t="s">
        <v>97</v>
      </c>
      <c r="V487" s="1" t="s">
        <v>58</v>
      </c>
      <c r="W487" s="1" t="s">
        <v>59</v>
      </c>
      <c r="X487" s="1"/>
      <c r="Y487" s="1"/>
      <c r="Z487" s="1" t="s">
        <v>98</v>
      </c>
      <c r="AA487" s="1" t="s">
        <v>2355</v>
      </c>
      <c r="AB487" s="1" t="str">
        <f>"***778768**"</f>
        <v>***778768**</v>
      </c>
      <c r="AC487" s="1"/>
      <c r="AD487" s="1" t="s">
        <v>62</v>
      </c>
      <c r="AE487" s="1"/>
      <c r="AF487" s="1">
        <v>-47.144169</v>
      </c>
      <c r="AG487" s="1">
        <v>-23.007778</v>
      </c>
      <c r="AH487" s="1" t="s">
        <v>2356</v>
      </c>
      <c r="AI487" s="1"/>
      <c r="AJ487" s="1" t="s">
        <v>101</v>
      </c>
      <c r="AK487" s="1"/>
      <c r="AL487" s="1"/>
      <c r="AM487" s="1" t="s">
        <v>65</v>
      </c>
      <c r="AN487" s="1" t="s">
        <v>102</v>
      </c>
      <c r="AO487" s="1"/>
      <c r="AP487" s="2">
        <v>43809.46875</v>
      </c>
      <c r="AQ487" s="1"/>
      <c r="AR487" s="1" t="s">
        <v>360</v>
      </c>
      <c r="AS487" s="1" t="s">
        <v>2357</v>
      </c>
      <c r="AT487" s="2">
        <v>44269.931099537</v>
      </c>
    </row>
    <row r="488" ht="13.5" customHeight="1">
      <c r="A488" s="1"/>
      <c r="B488" s="1" t="s">
        <v>46</v>
      </c>
      <c r="C488" s="1" t="s">
        <v>47</v>
      </c>
      <c r="D488" s="1"/>
      <c r="E488" s="1" t="s">
        <v>2358</v>
      </c>
      <c r="F488" s="1"/>
      <c r="G488" s="1" t="s">
        <v>49</v>
      </c>
      <c r="H488" s="1" t="s">
        <v>93</v>
      </c>
      <c r="I488" s="1">
        <v>70000.0</v>
      </c>
      <c r="J488" s="1"/>
      <c r="K488" s="1"/>
      <c r="L488" s="1"/>
      <c r="M488" s="1" t="s">
        <v>2359</v>
      </c>
      <c r="N488" s="1" t="s">
        <v>142</v>
      </c>
      <c r="O488" s="1" t="s">
        <v>143</v>
      </c>
      <c r="P488" s="2">
        <v>43808.7128125</v>
      </c>
      <c r="Q488" s="1" t="s">
        <v>373</v>
      </c>
      <c r="R488" s="1"/>
      <c r="S488" s="1"/>
      <c r="T488" s="1">
        <v>1100320.0</v>
      </c>
      <c r="U488" s="1" t="s">
        <v>1851</v>
      </c>
      <c r="V488" s="1" t="s">
        <v>448</v>
      </c>
      <c r="W488" s="1" t="s">
        <v>288</v>
      </c>
      <c r="X488" s="1"/>
      <c r="Y488" s="1"/>
      <c r="Z488" s="1" t="s">
        <v>147</v>
      </c>
      <c r="AA488" s="1" t="s">
        <v>2360</v>
      </c>
      <c r="AB488" s="1" t="str">
        <f>"***770532**"</f>
        <v>***770532**</v>
      </c>
      <c r="AC488" s="1"/>
      <c r="AD488" s="1" t="s">
        <v>116</v>
      </c>
      <c r="AE488" s="1"/>
      <c r="AF488" s="1">
        <v>-62.633335</v>
      </c>
      <c r="AG488" s="1">
        <v>-11.584167</v>
      </c>
      <c r="AH488" s="1" t="s">
        <v>2361</v>
      </c>
      <c r="AI488" s="1"/>
      <c r="AJ488" s="1" t="s">
        <v>172</v>
      </c>
      <c r="AK488" s="1"/>
      <c r="AL488" s="1"/>
      <c r="AM488" s="1" t="s">
        <v>65</v>
      </c>
      <c r="AN488" s="1" t="s">
        <v>1395</v>
      </c>
      <c r="AO488" s="1"/>
      <c r="AP488" s="2">
        <v>43808.7223958333</v>
      </c>
      <c r="AQ488" s="1"/>
      <c r="AR488" s="1" t="s">
        <v>871</v>
      </c>
      <c r="AS488" s="1"/>
      <c r="AT488" s="2">
        <v>44269.931099537</v>
      </c>
    </row>
    <row r="489" ht="13.5" customHeight="1">
      <c r="A489" s="1"/>
      <c r="B489" s="1" t="s">
        <v>46</v>
      </c>
      <c r="C489" s="1" t="s">
        <v>47</v>
      </c>
      <c r="D489" s="1"/>
      <c r="E489" s="1" t="s">
        <v>2362</v>
      </c>
      <c r="F489" s="1"/>
      <c r="G489" s="1" t="s">
        <v>49</v>
      </c>
      <c r="H489" s="1" t="s">
        <v>93</v>
      </c>
      <c r="I489" s="1">
        <v>175000.0</v>
      </c>
      <c r="J489" s="1"/>
      <c r="K489" s="1"/>
      <c r="L489" s="1"/>
      <c r="M489" s="1" t="s">
        <v>2363</v>
      </c>
      <c r="N489" s="1" t="s">
        <v>142</v>
      </c>
      <c r="O489" s="1" t="s">
        <v>143</v>
      </c>
      <c r="P489" s="2">
        <v>43808.681400463</v>
      </c>
      <c r="Q489" s="1" t="s">
        <v>74</v>
      </c>
      <c r="R489" s="1"/>
      <c r="S489" s="1"/>
      <c r="T489" s="1">
        <v>1504752.0</v>
      </c>
      <c r="U489" s="1" t="s">
        <v>2043</v>
      </c>
      <c r="V489" s="1" t="s">
        <v>193</v>
      </c>
      <c r="W489" s="1" t="s">
        <v>177</v>
      </c>
      <c r="X489" s="1"/>
      <c r="Y489" s="1"/>
      <c r="Z489" s="1" t="s">
        <v>147</v>
      </c>
      <c r="AA489" s="1" t="s">
        <v>2364</v>
      </c>
      <c r="AB489" s="1" t="str">
        <f>"***589662**"</f>
        <v>***589662**</v>
      </c>
      <c r="AC489" s="1"/>
      <c r="AD489" s="1" t="s">
        <v>116</v>
      </c>
      <c r="AE489" s="1"/>
      <c r="AF489" s="1">
        <v>-54.861111</v>
      </c>
      <c r="AG489" s="1">
        <v>-3.081944</v>
      </c>
      <c r="AH489" s="1" t="s">
        <v>2365</v>
      </c>
      <c r="AI489" s="1"/>
      <c r="AJ489" s="1" t="s">
        <v>172</v>
      </c>
      <c r="AK489" s="1"/>
      <c r="AL489" s="1"/>
      <c r="AM489" s="1" t="s">
        <v>65</v>
      </c>
      <c r="AN489" s="1" t="s">
        <v>1395</v>
      </c>
      <c r="AO489" s="1"/>
      <c r="AP489" s="2">
        <v>43808.7387615741</v>
      </c>
      <c r="AQ489" s="1"/>
      <c r="AR489" s="1" t="s">
        <v>871</v>
      </c>
      <c r="AS489" s="1"/>
      <c r="AT489" s="2">
        <v>44269.931099537</v>
      </c>
    </row>
    <row r="490" ht="13.5" customHeight="1">
      <c r="A490" s="1">
        <v>2035609.0</v>
      </c>
      <c r="B490" s="1" t="s">
        <v>67</v>
      </c>
      <c r="C490" s="1" t="s">
        <v>68</v>
      </c>
      <c r="D490" s="1" t="s">
        <v>46</v>
      </c>
      <c r="E490" s="1" t="s">
        <v>2366</v>
      </c>
      <c r="F490" s="1"/>
      <c r="G490" s="1" t="s">
        <v>70</v>
      </c>
      <c r="H490" s="1" t="s">
        <v>93</v>
      </c>
      <c r="I490" s="1">
        <v>1000.0</v>
      </c>
      <c r="J490" s="1"/>
      <c r="K490" s="1"/>
      <c r="L490" s="1" t="s">
        <v>501</v>
      </c>
      <c r="M490" s="1" t="s">
        <v>2367</v>
      </c>
      <c r="N490" s="1" t="s">
        <v>95</v>
      </c>
      <c r="O490" s="1" t="s">
        <v>96</v>
      </c>
      <c r="P490" s="2">
        <v>43808.6666666667</v>
      </c>
      <c r="Q490" s="1" t="s">
        <v>373</v>
      </c>
      <c r="R490" s="3">
        <v>43808.0</v>
      </c>
      <c r="S490" s="1"/>
      <c r="T490" s="1">
        <v>2412005.0</v>
      </c>
      <c r="U490" s="1" t="s">
        <v>1375</v>
      </c>
      <c r="V490" s="1" t="s">
        <v>1424</v>
      </c>
      <c r="W490" s="1" t="s">
        <v>113</v>
      </c>
      <c r="X490" s="1"/>
      <c r="Y490" s="1" t="str">
        <f>"02021000334202012"</f>
        <v>02021000334202012</v>
      </c>
      <c r="Z490" s="1" t="s">
        <v>98</v>
      </c>
      <c r="AA490" s="1" t="s">
        <v>2368</v>
      </c>
      <c r="AB490" s="1" t="str">
        <f>"***935054**"</f>
        <v>***935054**</v>
      </c>
      <c r="AC490" s="1"/>
      <c r="AD490" s="1"/>
      <c r="AE490" s="1"/>
      <c r="AF490" s="1">
        <v>-35.318333</v>
      </c>
      <c r="AG490" s="1">
        <v>-5.748056</v>
      </c>
      <c r="AH490" s="1" t="s">
        <v>2369</v>
      </c>
      <c r="AI490" s="1"/>
      <c r="AJ490" s="1" t="s">
        <v>501</v>
      </c>
      <c r="AK490" s="1"/>
      <c r="AL490" s="1" t="s">
        <v>79</v>
      </c>
      <c r="AM490" s="1" t="s">
        <v>65</v>
      </c>
      <c r="AN490" s="1" t="s">
        <v>1427</v>
      </c>
      <c r="AO490" s="2">
        <v>43909.0</v>
      </c>
      <c r="AP490" s="2">
        <v>43909.7242708333</v>
      </c>
      <c r="AQ490" s="1" t="s">
        <v>80</v>
      </c>
      <c r="AR490" s="1" t="s">
        <v>1826</v>
      </c>
      <c r="AS490" s="1"/>
      <c r="AT490" s="2">
        <v>44269.931099537</v>
      </c>
    </row>
    <row r="491" ht="13.5" customHeight="1">
      <c r="A491" s="1">
        <v>2035611.0</v>
      </c>
      <c r="B491" s="1" t="s">
        <v>67</v>
      </c>
      <c r="C491" s="1" t="s">
        <v>68</v>
      </c>
      <c r="D491" s="1" t="s">
        <v>46</v>
      </c>
      <c r="E491" s="1" t="s">
        <v>2370</v>
      </c>
      <c r="F491" s="1"/>
      <c r="G491" s="1" t="s">
        <v>70</v>
      </c>
      <c r="H491" s="1" t="s">
        <v>93</v>
      </c>
      <c r="I491" s="1">
        <v>9240.0</v>
      </c>
      <c r="J491" s="1"/>
      <c r="K491" s="1"/>
      <c r="L491" s="1" t="s">
        <v>501</v>
      </c>
      <c r="M491" s="1" t="s">
        <v>2371</v>
      </c>
      <c r="N491" s="1" t="s">
        <v>142</v>
      </c>
      <c r="O491" s="1" t="s">
        <v>143</v>
      </c>
      <c r="P491" s="2">
        <v>43808.6666666667</v>
      </c>
      <c r="Q491" s="1" t="s">
        <v>55</v>
      </c>
      <c r="R491" s="3">
        <v>43808.0</v>
      </c>
      <c r="S491" s="1"/>
      <c r="T491" s="1">
        <v>2408102.0</v>
      </c>
      <c r="U491" s="1" t="s">
        <v>1423</v>
      </c>
      <c r="V491" s="1" t="s">
        <v>1424</v>
      </c>
      <c r="W491" s="1" t="s">
        <v>59</v>
      </c>
      <c r="X491" s="1"/>
      <c r="Y491" s="1" t="str">
        <f>"02021002245201977"</f>
        <v>02021002245201977</v>
      </c>
      <c r="Z491" s="1" t="s">
        <v>147</v>
      </c>
      <c r="AA491" s="1" t="s">
        <v>2372</v>
      </c>
      <c r="AB491" s="1" t="str">
        <f>"***350894**"</f>
        <v>***350894**</v>
      </c>
      <c r="AC491" s="1"/>
      <c r="AD491" s="1"/>
      <c r="AE491" s="1"/>
      <c r="AF491" s="1">
        <v>-35.250832</v>
      </c>
      <c r="AG491" s="1">
        <v>-5.761111</v>
      </c>
      <c r="AH491" s="1" t="s">
        <v>2373</v>
      </c>
      <c r="AI491" s="1"/>
      <c r="AJ491" s="1" t="s">
        <v>501</v>
      </c>
      <c r="AK491" s="1"/>
      <c r="AL491" s="1" t="s">
        <v>79</v>
      </c>
      <c r="AM491" s="1" t="s">
        <v>65</v>
      </c>
      <c r="AN491" s="1" t="s">
        <v>1427</v>
      </c>
      <c r="AO491" s="2">
        <v>43909.0</v>
      </c>
      <c r="AP491" s="2">
        <v>43909.725150463</v>
      </c>
      <c r="AQ491" s="1" t="s">
        <v>80</v>
      </c>
      <c r="AR491" s="1" t="s">
        <v>379</v>
      </c>
      <c r="AS491" s="1"/>
      <c r="AT491" s="2">
        <v>44269.931099537</v>
      </c>
    </row>
    <row r="492" ht="13.5" customHeight="1">
      <c r="A492" s="1"/>
      <c r="B492" s="1" t="s">
        <v>46</v>
      </c>
      <c r="C492" s="1" t="s">
        <v>47</v>
      </c>
      <c r="D492" s="1"/>
      <c r="E492" s="1" t="s">
        <v>2374</v>
      </c>
      <c r="F492" s="1"/>
      <c r="G492" s="1" t="s">
        <v>49</v>
      </c>
      <c r="H492" s="1" t="s">
        <v>50</v>
      </c>
      <c r="I492" s="1">
        <v>2060.0</v>
      </c>
      <c r="J492" s="1"/>
      <c r="K492" s="1" t="s">
        <v>51</v>
      </c>
      <c r="L492" s="1"/>
      <c r="M492" s="1" t="s">
        <v>2375</v>
      </c>
      <c r="N492" s="1" t="s">
        <v>53</v>
      </c>
      <c r="O492" s="1" t="s">
        <v>54</v>
      </c>
      <c r="P492" s="2">
        <v>43808.6626273148</v>
      </c>
      <c r="Q492" s="1" t="s">
        <v>373</v>
      </c>
      <c r="R492" s="1"/>
      <c r="S492" s="1"/>
      <c r="T492" s="1">
        <v>2503209.0</v>
      </c>
      <c r="U492" s="1" t="s">
        <v>2376</v>
      </c>
      <c r="V492" s="1" t="s">
        <v>728</v>
      </c>
      <c r="W492" s="1" t="s">
        <v>288</v>
      </c>
      <c r="X492" s="1"/>
      <c r="Y492" s="1"/>
      <c r="Z492" s="1" t="s">
        <v>60</v>
      </c>
      <c r="AA492" s="1" t="s">
        <v>2377</v>
      </c>
      <c r="AB492" s="1" t="str">
        <f>"26010487000187"</f>
        <v>26010487000187</v>
      </c>
      <c r="AC492" s="1"/>
      <c r="AD492" s="1" t="s">
        <v>149</v>
      </c>
      <c r="AE492" s="1"/>
      <c r="AF492" s="1">
        <v>-34.830833</v>
      </c>
      <c r="AG492" s="1">
        <v>-7.080278</v>
      </c>
      <c r="AH492" s="1" t="s">
        <v>2378</v>
      </c>
      <c r="AI492" s="1"/>
      <c r="AJ492" s="1" t="s">
        <v>731</v>
      </c>
      <c r="AK492" s="1"/>
      <c r="AL492" s="1"/>
      <c r="AM492" s="1" t="s">
        <v>65</v>
      </c>
      <c r="AN492" s="1" t="s">
        <v>2379</v>
      </c>
      <c r="AO492" s="1"/>
      <c r="AP492" s="2">
        <v>43808.6840393519</v>
      </c>
      <c r="AQ492" s="1"/>
      <c r="AR492" s="1" t="s">
        <v>1042</v>
      </c>
      <c r="AS492" s="1"/>
      <c r="AT492" s="2">
        <v>44269.931099537</v>
      </c>
    </row>
    <row r="493" ht="13.5" customHeight="1">
      <c r="A493" s="1"/>
      <c r="B493" s="1" t="s">
        <v>46</v>
      </c>
      <c r="C493" s="1" t="s">
        <v>47</v>
      </c>
      <c r="D493" s="1"/>
      <c r="E493" s="1" t="s">
        <v>2380</v>
      </c>
      <c r="F493" s="1"/>
      <c r="G493" s="1" t="s">
        <v>49</v>
      </c>
      <c r="H493" s="1" t="s">
        <v>50</v>
      </c>
      <c r="I493" s="1">
        <v>405000.0</v>
      </c>
      <c r="J493" s="1"/>
      <c r="K493" s="1" t="s">
        <v>140</v>
      </c>
      <c r="L493" s="1"/>
      <c r="M493" s="1" t="s">
        <v>2381</v>
      </c>
      <c r="N493" s="1" t="s">
        <v>977</v>
      </c>
      <c r="O493" s="1" t="s">
        <v>978</v>
      </c>
      <c r="P493" s="2">
        <v>43808.6615856482</v>
      </c>
      <c r="Q493" s="1" t="s">
        <v>74</v>
      </c>
      <c r="R493" s="1"/>
      <c r="S493" s="1"/>
      <c r="T493" s="1">
        <v>3534401.0</v>
      </c>
      <c r="U493" s="1" t="s">
        <v>1459</v>
      </c>
      <c r="V493" s="1" t="s">
        <v>58</v>
      </c>
      <c r="W493" s="1" t="s">
        <v>59</v>
      </c>
      <c r="X493" s="1"/>
      <c r="Y493" s="1"/>
      <c r="Z493" s="1" t="s">
        <v>980</v>
      </c>
      <c r="AA493" s="1" t="s">
        <v>2382</v>
      </c>
      <c r="AB493" s="1" t="str">
        <f>"01722256000175"</f>
        <v>01722256000175</v>
      </c>
      <c r="AC493" s="1"/>
      <c r="AD493" s="1" t="s">
        <v>149</v>
      </c>
      <c r="AE493" s="1"/>
      <c r="AF493" s="1">
        <v>-46.907776</v>
      </c>
      <c r="AG493" s="1">
        <v>-23.493612</v>
      </c>
      <c r="AH493" s="1" t="s">
        <v>982</v>
      </c>
      <c r="AI493" s="1"/>
      <c r="AJ493" s="1" t="s">
        <v>172</v>
      </c>
      <c r="AK493" s="1"/>
      <c r="AL493" s="1"/>
      <c r="AM493" s="1" t="s">
        <v>65</v>
      </c>
      <c r="AN493" s="1" t="s">
        <v>983</v>
      </c>
      <c r="AO493" s="1"/>
      <c r="AP493" s="2">
        <v>44008.7379976852</v>
      </c>
      <c r="AQ493" s="1"/>
      <c r="AR493" s="1" t="s">
        <v>984</v>
      </c>
      <c r="AS493" s="1" t="s">
        <v>2383</v>
      </c>
      <c r="AT493" s="2">
        <v>44269.931099537</v>
      </c>
    </row>
    <row r="494" ht="13.5" customHeight="1">
      <c r="A494" s="1"/>
      <c r="B494" s="1" t="s">
        <v>46</v>
      </c>
      <c r="C494" s="1" t="s">
        <v>47</v>
      </c>
      <c r="D494" s="1"/>
      <c r="E494" s="1" t="s">
        <v>2384</v>
      </c>
      <c r="F494" s="1"/>
      <c r="G494" s="1" t="s">
        <v>49</v>
      </c>
      <c r="H494" s="1" t="s">
        <v>50</v>
      </c>
      <c r="I494" s="1">
        <v>45000.0</v>
      </c>
      <c r="J494" s="1"/>
      <c r="K494" s="1" t="s">
        <v>51</v>
      </c>
      <c r="L494" s="1"/>
      <c r="M494" s="1" t="s">
        <v>2385</v>
      </c>
      <c r="N494" s="1" t="s">
        <v>977</v>
      </c>
      <c r="O494" s="1" t="s">
        <v>978</v>
      </c>
      <c r="P494" s="2">
        <v>43808.6485532407</v>
      </c>
      <c r="Q494" s="1" t="s">
        <v>74</v>
      </c>
      <c r="R494" s="1"/>
      <c r="S494" s="1"/>
      <c r="T494" s="1">
        <v>4101804.0</v>
      </c>
      <c r="U494" s="1" t="s">
        <v>2386</v>
      </c>
      <c r="V494" s="1" t="s">
        <v>176</v>
      </c>
      <c r="W494" s="1" t="s">
        <v>59</v>
      </c>
      <c r="X494" s="1"/>
      <c r="Y494" s="1"/>
      <c r="Z494" s="1" t="s">
        <v>980</v>
      </c>
      <c r="AA494" s="1" t="s">
        <v>2387</v>
      </c>
      <c r="AB494" s="1" t="str">
        <f>"44637619000187"</f>
        <v>44637619000187</v>
      </c>
      <c r="AC494" s="1"/>
      <c r="AD494" s="1" t="s">
        <v>149</v>
      </c>
      <c r="AE494" s="1"/>
      <c r="AF494" s="1">
        <v>-49.488609</v>
      </c>
      <c r="AG494" s="1">
        <v>-25.628332</v>
      </c>
      <c r="AH494" s="1" t="s">
        <v>982</v>
      </c>
      <c r="AI494" s="1"/>
      <c r="AJ494" s="1" t="s">
        <v>172</v>
      </c>
      <c r="AK494" s="1"/>
      <c r="AL494" s="1"/>
      <c r="AM494" s="1" t="s">
        <v>65</v>
      </c>
      <c r="AN494" s="1" t="s">
        <v>983</v>
      </c>
      <c r="AO494" s="1"/>
      <c r="AP494" s="2">
        <v>44008.7381944444</v>
      </c>
      <c r="AQ494" s="1"/>
      <c r="AR494" s="1" t="s">
        <v>984</v>
      </c>
      <c r="AS494" s="1" t="s">
        <v>2383</v>
      </c>
      <c r="AT494" s="2">
        <v>44269.931099537</v>
      </c>
    </row>
    <row r="495" ht="13.5" customHeight="1">
      <c r="A495" s="1"/>
      <c r="B495" s="1" t="s">
        <v>46</v>
      </c>
      <c r="C495" s="1" t="s">
        <v>47</v>
      </c>
      <c r="D495" s="1"/>
      <c r="E495" s="1" t="s">
        <v>2388</v>
      </c>
      <c r="F495" s="1"/>
      <c r="G495" s="1" t="s">
        <v>49</v>
      </c>
      <c r="H495" s="1" t="s">
        <v>93</v>
      </c>
      <c r="I495" s="1">
        <v>1800.0</v>
      </c>
      <c r="J495" s="1"/>
      <c r="K495" s="1"/>
      <c r="L495" s="1"/>
      <c r="M495" s="1" t="s">
        <v>2389</v>
      </c>
      <c r="N495" s="1" t="s">
        <v>123</v>
      </c>
      <c r="O495" s="1" t="s">
        <v>73</v>
      </c>
      <c r="P495" s="2">
        <v>43808.6408680556</v>
      </c>
      <c r="Q495" s="1" t="s">
        <v>74</v>
      </c>
      <c r="R495" s="1"/>
      <c r="S495" s="1"/>
      <c r="T495" s="1">
        <v>4101804.0</v>
      </c>
      <c r="U495" s="1" t="s">
        <v>2386</v>
      </c>
      <c r="V495" s="1" t="s">
        <v>176</v>
      </c>
      <c r="W495" s="1" t="s">
        <v>59</v>
      </c>
      <c r="X495" s="1"/>
      <c r="Y495" s="1"/>
      <c r="Z495" s="1" t="s">
        <v>76</v>
      </c>
      <c r="AA495" s="1" t="s">
        <v>2390</v>
      </c>
      <c r="AB495" s="1" t="str">
        <f>"00200296000194"</f>
        <v>00200296000194</v>
      </c>
      <c r="AC495" s="1"/>
      <c r="AD495" s="1" t="s">
        <v>149</v>
      </c>
      <c r="AE495" s="1"/>
      <c r="AF495" s="1">
        <v>-49.420277</v>
      </c>
      <c r="AG495" s="1">
        <v>-25.57</v>
      </c>
      <c r="AH495" s="1" t="s">
        <v>982</v>
      </c>
      <c r="AI495" s="1"/>
      <c r="AJ495" s="1" t="s">
        <v>172</v>
      </c>
      <c r="AK495" s="1"/>
      <c r="AL495" s="1"/>
      <c r="AM495" s="1" t="s">
        <v>65</v>
      </c>
      <c r="AN495" s="1" t="s">
        <v>983</v>
      </c>
      <c r="AO495" s="1"/>
      <c r="AP495" s="2">
        <v>44008.7383101852</v>
      </c>
      <c r="AQ495" s="1"/>
      <c r="AR495" s="1" t="s">
        <v>1328</v>
      </c>
      <c r="AS495" s="1" t="s">
        <v>2391</v>
      </c>
      <c r="AT495" s="2">
        <v>44269.931099537</v>
      </c>
    </row>
    <row r="496" ht="13.5" customHeight="1">
      <c r="A496" s="1"/>
      <c r="B496" s="1" t="s">
        <v>46</v>
      </c>
      <c r="C496" s="1" t="s">
        <v>47</v>
      </c>
      <c r="D496" s="1"/>
      <c r="E496" s="1" t="s">
        <v>2392</v>
      </c>
      <c r="F496" s="1"/>
      <c r="G496" s="1" t="s">
        <v>49</v>
      </c>
      <c r="H496" s="1" t="s">
        <v>93</v>
      </c>
      <c r="I496" s="1">
        <v>245000.0</v>
      </c>
      <c r="J496" s="1"/>
      <c r="K496" s="1"/>
      <c r="L496" s="1"/>
      <c r="M496" s="1" t="s">
        <v>2393</v>
      </c>
      <c r="N496" s="1" t="s">
        <v>142</v>
      </c>
      <c r="O496" s="1" t="s">
        <v>143</v>
      </c>
      <c r="P496" s="2">
        <v>43808.6358101852</v>
      </c>
      <c r="Q496" s="1" t="s">
        <v>373</v>
      </c>
      <c r="R496" s="1"/>
      <c r="S496" s="1"/>
      <c r="T496" s="1">
        <v>1100080.0</v>
      </c>
      <c r="U496" s="1" t="s">
        <v>1392</v>
      </c>
      <c r="V496" s="1" t="s">
        <v>448</v>
      </c>
      <c r="W496" s="1" t="s">
        <v>177</v>
      </c>
      <c r="X496" s="1"/>
      <c r="Y496" s="1"/>
      <c r="Z496" s="1" t="s">
        <v>147</v>
      </c>
      <c r="AA496" s="1" t="s">
        <v>2394</v>
      </c>
      <c r="AB496" s="1" t="str">
        <f>"***656752**"</f>
        <v>***656752**</v>
      </c>
      <c r="AC496" s="1"/>
      <c r="AD496" s="1" t="s">
        <v>116</v>
      </c>
      <c r="AE496" s="1"/>
      <c r="AF496" s="1">
        <v>-64.074165</v>
      </c>
      <c r="AG496" s="1">
        <v>-12.325278</v>
      </c>
      <c r="AH496" s="1" t="s">
        <v>2395</v>
      </c>
      <c r="AI496" s="1"/>
      <c r="AJ496" s="1" t="s">
        <v>172</v>
      </c>
      <c r="AK496" s="1"/>
      <c r="AL496" s="1"/>
      <c r="AM496" s="1" t="s">
        <v>65</v>
      </c>
      <c r="AN496" s="1" t="s">
        <v>1395</v>
      </c>
      <c r="AO496" s="1"/>
      <c r="AP496" s="2">
        <v>43808.6402430556</v>
      </c>
      <c r="AQ496" s="1"/>
      <c r="AR496" s="1" t="s">
        <v>644</v>
      </c>
      <c r="AS496" s="1"/>
      <c r="AT496" s="2">
        <v>44269.931099537</v>
      </c>
    </row>
    <row r="497" ht="13.5" customHeight="1">
      <c r="A497" s="1"/>
      <c r="B497" s="1" t="s">
        <v>46</v>
      </c>
      <c r="C497" s="1" t="s">
        <v>47</v>
      </c>
      <c r="D497" s="1"/>
      <c r="E497" s="1" t="s">
        <v>2396</v>
      </c>
      <c r="F497" s="1"/>
      <c r="G497" s="1" t="s">
        <v>49</v>
      </c>
      <c r="H497" s="1" t="s">
        <v>50</v>
      </c>
      <c r="I497" s="1">
        <v>165000.0</v>
      </c>
      <c r="J497" s="1"/>
      <c r="K497" s="1" t="s">
        <v>140</v>
      </c>
      <c r="L497" s="1"/>
      <c r="M497" s="1" t="s">
        <v>2381</v>
      </c>
      <c r="N497" s="1" t="s">
        <v>977</v>
      </c>
      <c r="O497" s="1" t="s">
        <v>978</v>
      </c>
      <c r="P497" s="2">
        <v>43808.6350925926</v>
      </c>
      <c r="Q497" s="1" t="s">
        <v>74</v>
      </c>
      <c r="R497" s="1"/>
      <c r="S497" s="1"/>
      <c r="T497" s="1">
        <v>4101804.0</v>
      </c>
      <c r="U497" s="1" t="s">
        <v>2386</v>
      </c>
      <c r="V497" s="1" t="s">
        <v>176</v>
      </c>
      <c r="W497" s="1" t="s">
        <v>59</v>
      </c>
      <c r="X497" s="1"/>
      <c r="Y497" s="1"/>
      <c r="Z497" s="1" t="s">
        <v>980</v>
      </c>
      <c r="AA497" s="1" t="s">
        <v>2390</v>
      </c>
      <c r="AB497" s="1" t="str">
        <f>"00200296000194"</f>
        <v>00200296000194</v>
      </c>
      <c r="AC497" s="1"/>
      <c r="AD497" s="1" t="s">
        <v>149</v>
      </c>
      <c r="AE497" s="1"/>
      <c r="AF497" s="1">
        <v>-49.420277</v>
      </c>
      <c r="AG497" s="1">
        <v>-25.57</v>
      </c>
      <c r="AH497" s="1" t="s">
        <v>982</v>
      </c>
      <c r="AI497" s="1"/>
      <c r="AJ497" s="1" t="s">
        <v>172</v>
      </c>
      <c r="AK497" s="1"/>
      <c r="AL497" s="1"/>
      <c r="AM497" s="1" t="s">
        <v>65</v>
      </c>
      <c r="AN497" s="1" t="s">
        <v>983</v>
      </c>
      <c r="AO497" s="1"/>
      <c r="AP497" s="2">
        <v>44008.7384143519</v>
      </c>
      <c r="AQ497" s="1"/>
      <c r="AR497" s="1" t="s">
        <v>984</v>
      </c>
      <c r="AS497" s="1" t="s">
        <v>2383</v>
      </c>
      <c r="AT497" s="2">
        <v>44269.931099537</v>
      </c>
    </row>
    <row r="498" ht="13.5" customHeight="1">
      <c r="A498" s="1"/>
      <c r="B498" s="1" t="s">
        <v>46</v>
      </c>
      <c r="C498" s="1" t="s">
        <v>47</v>
      </c>
      <c r="D498" s="1"/>
      <c r="E498" s="1" t="s">
        <v>2397</v>
      </c>
      <c r="F498" s="1"/>
      <c r="G498" s="1" t="s">
        <v>49</v>
      </c>
      <c r="H498" s="1" t="s">
        <v>50</v>
      </c>
      <c r="I498" s="1">
        <v>700.0</v>
      </c>
      <c r="J498" s="1"/>
      <c r="K498" s="1" t="s">
        <v>51</v>
      </c>
      <c r="L498" s="1"/>
      <c r="M498" s="1" t="s">
        <v>2398</v>
      </c>
      <c r="N498" s="1" t="s">
        <v>53</v>
      </c>
      <c r="O498" s="1" t="s">
        <v>54</v>
      </c>
      <c r="P498" s="2">
        <v>43808.6338888889</v>
      </c>
      <c r="Q498" s="1" t="s">
        <v>74</v>
      </c>
      <c r="R498" s="3">
        <v>43802.0</v>
      </c>
      <c r="S498" s="1"/>
      <c r="T498" s="1">
        <v>5008305.0</v>
      </c>
      <c r="U498" s="1" t="s">
        <v>2399</v>
      </c>
      <c r="V498" s="1" t="s">
        <v>529</v>
      </c>
      <c r="W498" s="1" t="s">
        <v>59</v>
      </c>
      <c r="X498" s="1"/>
      <c r="Y498" s="1"/>
      <c r="Z498" s="1" t="s">
        <v>60</v>
      </c>
      <c r="AA498" s="1" t="s">
        <v>2400</v>
      </c>
      <c r="AB498" s="1" t="str">
        <f>"***991578**"</f>
        <v>***991578**</v>
      </c>
      <c r="AC498" s="1"/>
      <c r="AD498" s="1" t="s">
        <v>62</v>
      </c>
      <c r="AE498" s="1"/>
      <c r="AF498" s="1">
        <v>-51.633335</v>
      </c>
      <c r="AG498" s="1">
        <v>-20.793333</v>
      </c>
      <c r="AH498" s="1" t="s">
        <v>2401</v>
      </c>
      <c r="AI498" s="1"/>
      <c r="AJ498" s="1" t="s">
        <v>533</v>
      </c>
      <c r="AK498" s="1"/>
      <c r="AL498" s="1"/>
      <c r="AM498" s="1" t="s">
        <v>65</v>
      </c>
      <c r="AN498" s="1" t="s">
        <v>2402</v>
      </c>
      <c r="AO498" s="1"/>
      <c r="AP498" s="2">
        <v>43808.6393865741</v>
      </c>
      <c r="AQ498" s="1"/>
      <c r="AR498" s="1" t="s">
        <v>2403</v>
      </c>
      <c r="AS498" s="1" t="s">
        <v>2404</v>
      </c>
      <c r="AT498" s="2">
        <v>44269.931099537</v>
      </c>
    </row>
    <row r="499" ht="13.5" customHeight="1">
      <c r="A499" s="1">
        <v>2035993.0</v>
      </c>
      <c r="B499" s="1" t="s">
        <v>67</v>
      </c>
      <c r="C499" s="1" t="s">
        <v>68</v>
      </c>
      <c r="D499" s="1" t="s">
        <v>46</v>
      </c>
      <c r="E499" s="1" t="s">
        <v>2405</v>
      </c>
      <c r="F499" s="1"/>
      <c r="G499" s="1" t="s">
        <v>70</v>
      </c>
      <c r="H499" s="1" t="s">
        <v>93</v>
      </c>
      <c r="I499" s="1">
        <v>265000.0</v>
      </c>
      <c r="J499" s="1"/>
      <c r="K499" s="1"/>
      <c r="L499" s="1" t="s">
        <v>172</v>
      </c>
      <c r="M499" s="1" t="s">
        <v>2406</v>
      </c>
      <c r="N499" s="1" t="s">
        <v>142</v>
      </c>
      <c r="O499" s="1" t="s">
        <v>143</v>
      </c>
      <c r="P499" s="2">
        <v>43808.625</v>
      </c>
      <c r="Q499" s="1" t="s">
        <v>373</v>
      </c>
      <c r="R499" s="3">
        <v>43808.0</v>
      </c>
      <c r="S499" s="1"/>
      <c r="T499" s="1">
        <v>1100080.0</v>
      </c>
      <c r="U499" s="1" t="s">
        <v>1392</v>
      </c>
      <c r="V499" s="1" t="s">
        <v>448</v>
      </c>
      <c r="W499" s="1" t="s">
        <v>177</v>
      </c>
      <c r="X499" s="1"/>
      <c r="Y499" s="1" t="str">
        <f>"02001009361202099"</f>
        <v>02001009361202099</v>
      </c>
      <c r="Z499" s="1" t="s">
        <v>147</v>
      </c>
      <c r="AA499" s="1" t="s">
        <v>2407</v>
      </c>
      <c r="AB499" s="1" t="str">
        <f>"***808492**"</f>
        <v>***808492**</v>
      </c>
      <c r="AC499" s="1"/>
      <c r="AD499" s="1"/>
      <c r="AE499" s="1"/>
      <c r="AF499" s="1">
        <v>-64.030006</v>
      </c>
      <c r="AG499" s="1">
        <v>-12.348333</v>
      </c>
      <c r="AH499" s="1" t="s">
        <v>2408</v>
      </c>
      <c r="AI499" s="1"/>
      <c r="AJ499" s="1" t="s">
        <v>172</v>
      </c>
      <c r="AK499" s="1"/>
      <c r="AL499" s="1" t="s">
        <v>79</v>
      </c>
      <c r="AM499" s="1" t="s">
        <v>65</v>
      </c>
      <c r="AN499" s="1" t="s">
        <v>1395</v>
      </c>
      <c r="AO499" s="2">
        <v>43923.0</v>
      </c>
      <c r="AP499" s="2">
        <v>43923.7030555556</v>
      </c>
      <c r="AQ499" s="1" t="s">
        <v>80</v>
      </c>
      <c r="AR499" s="1" t="s">
        <v>650</v>
      </c>
      <c r="AS499" s="1"/>
      <c r="AT499" s="2">
        <v>44269.931099537</v>
      </c>
    </row>
    <row r="500" ht="13.5" customHeight="1">
      <c r="A500" s="1">
        <v>2043337.0</v>
      </c>
      <c r="B500" s="1" t="s">
        <v>67</v>
      </c>
      <c r="C500" s="1" t="s">
        <v>68</v>
      </c>
      <c r="D500" s="1" t="s">
        <v>46</v>
      </c>
      <c r="E500" s="1" t="s">
        <v>2409</v>
      </c>
      <c r="F500" s="1"/>
      <c r="G500" s="1" t="s">
        <v>70</v>
      </c>
      <c r="H500" s="1" t="s">
        <v>50</v>
      </c>
      <c r="I500" s="1">
        <v>165000.0</v>
      </c>
      <c r="J500" s="1"/>
      <c r="K500" s="1"/>
      <c r="L500" s="1" t="s">
        <v>172</v>
      </c>
      <c r="M500" s="1" t="s">
        <v>2381</v>
      </c>
      <c r="N500" s="1" t="s">
        <v>283</v>
      </c>
      <c r="O500" s="1" t="s">
        <v>978</v>
      </c>
      <c r="P500" s="2">
        <v>43808.625</v>
      </c>
      <c r="Q500" s="1" t="s">
        <v>74</v>
      </c>
      <c r="R500" s="3">
        <v>44050.0</v>
      </c>
      <c r="S500" s="1"/>
      <c r="T500" s="1">
        <v>2607901.0</v>
      </c>
      <c r="U500" s="1" t="s">
        <v>2410</v>
      </c>
      <c r="V500" s="1" t="s">
        <v>1037</v>
      </c>
      <c r="W500" s="1" t="s">
        <v>113</v>
      </c>
      <c r="X500" s="1"/>
      <c r="Y500" s="1" t="str">
        <f>"02001036493201950"</f>
        <v>02001036493201950</v>
      </c>
      <c r="Z500" s="1" t="s">
        <v>980</v>
      </c>
      <c r="AA500" s="1" t="s">
        <v>2411</v>
      </c>
      <c r="AB500" s="1" t="str">
        <f>"17243269000100"</f>
        <v>17243269000100</v>
      </c>
      <c r="AC500" s="1"/>
      <c r="AD500" s="1"/>
      <c r="AE500" s="1"/>
      <c r="AF500" s="1">
        <v>-35.031391</v>
      </c>
      <c r="AG500" s="1">
        <v>-8.245556</v>
      </c>
      <c r="AH500" s="1" t="s">
        <v>982</v>
      </c>
      <c r="AI500" s="1"/>
      <c r="AJ500" s="1" t="s">
        <v>172</v>
      </c>
      <c r="AK500" s="1"/>
      <c r="AL500" s="1" t="s">
        <v>79</v>
      </c>
      <c r="AM500" s="1" t="s">
        <v>65</v>
      </c>
      <c r="AN500" s="1" t="s">
        <v>983</v>
      </c>
      <c r="AO500" s="2">
        <v>44236.0</v>
      </c>
      <c r="AP500" s="2">
        <v>44236.4676273148</v>
      </c>
      <c r="AQ500" s="1" t="s">
        <v>80</v>
      </c>
      <c r="AR500" s="1" t="s">
        <v>1050</v>
      </c>
      <c r="AS500" s="1" t="s">
        <v>2412</v>
      </c>
      <c r="AT500" s="2">
        <v>44269.931099537</v>
      </c>
    </row>
    <row r="501" ht="13.5" customHeight="1">
      <c r="A501" s="1"/>
      <c r="B501" s="1" t="s">
        <v>46</v>
      </c>
      <c r="C501" s="1" t="s">
        <v>47</v>
      </c>
      <c r="D501" s="1"/>
      <c r="E501" s="1" t="s">
        <v>2413</v>
      </c>
      <c r="F501" s="1"/>
      <c r="G501" s="1" t="s">
        <v>49</v>
      </c>
      <c r="H501" s="1" t="s">
        <v>50</v>
      </c>
      <c r="I501" s="1">
        <v>85000.0</v>
      </c>
      <c r="J501" s="1"/>
      <c r="K501" s="1" t="s">
        <v>140</v>
      </c>
      <c r="L501" s="1"/>
      <c r="M501" s="1" t="s">
        <v>2381</v>
      </c>
      <c r="N501" s="1" t="s">
        <v>977</v>
      </c>
      <c r="O501" s="1" t="s">
        <v>978</v>
      </c>
      <c r="P501" s="2">
        <v>43808.6245023148</v>
      </c>
      <c r="Q501" s="1" t="s">
        <v>74</v>
      </c>
      <c r="R501" s="1"/>
      <c r="S501" s="1"/>
      <c r="T501" s="1">
        <v>3516408.0</v>
      </c>
      <c r="U501" s="1" t="s">
        <v>2414</v>
      </c>
      <c r="V501" s="1" t="s">
        <v>58</v>
      </c>
      <c r="W501" s="1" t="s">
        <v>59</v>
      </c>
      <c r="X501" s="1"/>
      <c r="Y501" s="1"/>
      <c r="Z501" s="1" t="s">
        <v>980</v>
      </c>
      <c r="AA501" s="1" t="s">
        <v>2415</v>
      </c>
      <c r="AB501" s="1" t="str">
        <f>"61465597000134"</f>
        <v>61465597000134</v>
      </c>
      <c r="AC501" s="1"/>
      <c r="AD501" s="1" t="s">
        <v>149</v>
      </c>
      <c r="AE501" s="1"/>
      <c r="AF501" s="1">
        <v>-46.853611</v>
      </c>
      <c r="AG501" s="1">
        <v>-23.478613</v>
      </c>
      <c r="AH501" s="1" t="s">
        <v>982</v>
      </c>
      <c r="AI501" s="1"/>
      <c r="AJ501" s="1" t="s">
        <v>172</v>
      </c>
      <c r="AK501" s="1"/>
      <c r="AL501" s="1"/>
      <c r="AM501" s="1" t="s">
        <v>65</v>
      </c>
      <c r="AN501" s="1" t="s">
        <v>983</v>
      </c>
      <c r="AO501" s="1"/>
      <c r="AP501" s="2">
        <v>44008.7385532407</v>
      </c>
      <c r="AQ501" s="1"/>
      <c r="AR501" s="1" t="s">
        <v>984</v>
      </c>
      <c r="AS501" s="1" t="s">
        <v>2412</v>
      </c>
      <c r="AT501" s="2">
        <v>44269.931099537</v>
      </c>
    </row>
    <row r="502" ht="13.5" customHeight="1">
      <c r="A502" s="1"/>
      <c r="B502" s="1" t="s">
        <v>46</v>
      </c>
      <c r="C502" s="1" t="s">
        <v>47</v>
      </c>
      <c r="D502" s="1"/>
      <c r="E502" s="1" t="s">
        <v>2416</v>
      </c>
      <c r="F502" s="1"/>
      <c r="G502" s="1" t="s">
        <v>49</v>
      </c>
      <c r="H502" s="1" t="s">
        <v>50</v>
      </c>
      <c r="I502" s="1">
        <v>165000.0</v>
      </c>
      <c r="J502" s="1"/>
      <c r="K502" s="1" t="s">
        <v>140</v>
      </c>
      <c r="L502" s="1"/>
      <c r="M502" s="1" t="s">
        <v>2381</v>
      </c>
      <c r="N502" s="1" t="s">
        <v>977</v>
      </c>
      <c r="O502" s="1" t="s">
        <v>978</v>
      </c>
      <c r="P502" s="2">
        <v>43808.6153009259</v>
      </c>
      <c r="Q502" s="1" t="s">
        <v>74</v>
      </c>
      <c r="R502" s="1"/>
      <c r="S502" s="1"/>
      <c r="T502" s="1">
        <v>3549904.0</v>
      </c>
      <c r="U502" s="1" t="s">
        <v>1346</v>
      </c>
      <c r="V502" s="1" t="s">
        <v>58</v>
      </c>
      <c r="W502" s="1" t="s">
        <v>59</v>
      </c>
      <c r="X502" s="1"/>
      <c r="Y502" s="1"/>
      <c r="Z502" s="1" t="s">
        <v>980</v>
      </c>
      <c r="AA502" s="1" t="s">
        <v>2417</v>
      </c>
      <c r="AB502" s="1" t="str">
        <f>"19390762000170"</f>
        <v>19390762000170</v>
      </c>
      <c r="AC502" s="1"/>
      <c r="AD502" s="1" t="s">
        <v>149</v>
      </c>
      <c r="AE502" s="1"/>
      <c r="AF502" s="1">
        <v>-45.981113</v>
      </c>
      <c r="AG502" s="1">
        <v>-23.28389</v>
      </c>
      <c r="AH502" s="1" t="s">
        <v>982</v>
      </c>
      <c r="AI502" s="1"/>
      <c r="AJ502" s="1" t="s">
        <v>172</v>
      </c>
      <c r="AK502" s="1"/>
      <c r="AL502" s="1"/>
      <c r="AM502" s="1" t="s">
        <v>65</v>
      </c>
      <c r="AN502" s="1" t="s">
        <v>983</v>
      </c>
      <c r="AO502" s="1"/>
      <c r="AP502" s="2">
        <v>44008.7386921296</v>
      </c>
      <c r="AQ502" s="1"/>
      <c r="AR502" s="1" t="s">
        <v>984</v>
      </c>
      <c r="AS502" s="1" t="s">
        <v>2383</v>
      </c>
      <c r="AT502" s="2">
        <v>44269.931099537</v>
      </c>
    </row>
    <row r="503" ht="13.5" customHeight="1">
      <c r="A503" s="1"/>
      <c r="B503" s="1" t="s">
        <v>46</v>
      </c>
      <c r="C503" s="1" t="s">
        <v>47</v>
      </c>
      <c r="D503" s="1"/>
      <c r="E503" s="1" t="s">
        <v>2418</v>
      </c>
      <c r="F503" s="1"/>
      <c r="G503" s="1" t="s">
        <v>49</v>
      </c>
      <c r="H503" s="1" t="s">
        <v>50</v>
      </c>
      <c r="I503" s="1">
        <v>105000.0</v>
      </c>
      <c r="J503" s="1"/>
      <c r="K503" s="1" t="s">
        <v>140</v>
      </c>
      <c r="L503" s="1"/>
      <c r="M503" s="1" t="s">
        <v>2381</v>
      </c>
      <c r="N503" s="1" t="s">
        <v>977</v>
      </c>
      <c r="O503" s="1" t="s">
        <v>978</v>
      </c>
      <c r="P503" s="2">
        <v>43808.6070833333</v>
      </c>
      <c r="Q503" s="1" t="s">
        <v>74</v>
      </c>
      <c r="R503" s="1"/>
      <c r="S503" s="1"/>
      <c r="T503" s="1">
        <v>3509502.0</v>
      </c>
      <c r="U503" s="1" t="s">
        <v>97</v>
      </c>
      <c r="V503" s="1" t="s">
        <v>58</v>
      </c>
      <c r="W503" s="1" t="s">
        <v>59</v>
      </c>
      <c r="X503" s="1"/>
      <c r="Y503" s="1"/>
      <c r="Z503" s="1" t="s">
        <v>980</v>
      </c>
      <c r="AA503" s="1" t="s">
        <v>2419</v>
      </c>
      <c r="AB503" s="1" t="str">
        <f>"45990181000189"</f>
        <v>45990181000189</v>
      </c>
      <c r="AC503" s="1"/>
      <c r="AD503" s="1" t="s">
        <v>149</v>
      </c>
      <c r="AE503" s="1"/>
      <c r="AF503" s="1">
        <v>-47.229164</v>
      </c>
      <c r="AG503" s="1">
        <v>-23.032223</v>
      </c>
      <c r="AH503" s="1" t="s">
        <v>982</v>
      </c>
      <c r="AI503" s="1"/>
      <c r="AJ503" s="1" t="s">
        <v>172</v>
      </c>
      <c r="AK503" s="1"/>
      <c r="AL503" s="1"/>
      <c r="AM503" s="1" t="s">
        <v>65</v>
      </c>
      <c r="AN503" s="1" t="s">
        <v>983</v>
      </c>
      <c r="AO503" s="1"/>
      <c r="AP503" s="2">
        <v>44008.7387847222</v>
      </c>
      <c r="AQ503" s="1"/>
      <c r="AR503" s="1" t="s">
        <v>984</v>
      </c>
      <c r="AS503" s="1" t="s">
        <v>2383</v>
      </c>
      <c r="AT503" s="2">
        <v>44269.931099537</v>
      </c>
    </row>
    <row r="504" ht="13.5" customHeight="1">
      <c r="A504" s="1"/>
      <c r="B504" s="1" t="s">
        <v>46</v>
      </c>
      <c r="C504" s="1" t="s">
        <v>47</v>
      </c>
      <c r="D504" s="1"/>
      <c r="E504" s="1" t="s">
        <v>2420</v>
      </c>
      <c r="F504" s="1"/>
      <c r="G504" s="1" t="s">
        <v>49</v>
      </c>
      <c r="H504" s="1" t="s">
        <v>50</v>
      </c>
      <c r="I504" s="1">
        <v>15000.0</v>
      </c>
      <c r="J504" s="1"/>
      <c r="K504" s="1" t="s">
        <v>51</v>
      </c>
      <c r="L504" s="1"/>
      <c r="M504" s="1" t="s">
        <v>2381</v>
      </c>
      <c r="N504" s="1" t="s">
        <v>977</v>
      </c>
      <c r="O504" s="1" t="s">
        <v>978</v>
      </c>
      <c r="P504" s="2">
        <v>43808.5979282407</v>
      </c>
      <c r="Q504" s="1" t="s">
        <v>74</v>
      </c>
      <c r="R504" s="1"/>
      <c r="S504" s="1"/>
      <c r="T504" s="1">
        <v>4207502.0</v>
      </c>
      <c r="U504" s="1" t="s">
        <v>2421</v>
      </c>
      <c r="V504" s="1" t="s">
        <v>267</v>
      </c>
      <c r="W504" s="1" t="s">
        <v>59</v>
      </c>
      <c r="X504" s="1"/>
      <c r="Y504" s="1"/>
      <c r="Z504" s="1" t="s">
        <v>980</v>
      </c>
      <c r="AA504" s="1" t="s">
        <v>2422</v>
      </c>
      <c r="AB504" s="1" t="str">
        <f>"15988752000180"</f>
        <v>15988752000180</v>
      </c>
      <c r="AC504" s="1"/>
      <c r="AD504" s="1" t="s">
        <v>149</v>
      </c>
      <c r="AE504" s="1"/>
      <c r="AF504" s="1">
        <v>-49.386391</v>
      </c>
      <c r="AG504" s="1">
        <v>-26.914167</v>
      </c>
      <c r="AH504" s="1" t="s">
        <v>982</v>
      </c>
      <c r="AI504" s="1"/>
      <c r="AJ504" s="1" t="s">
        <v>172</v>
      </c>
      <c r="AK504" s="1"/>
      <c r="AL504" s="1"/>
      <c r="AM504" s="1" t="s">
        <v>65</v>
      </c>
      <c r="AN504" s="1" t="s">
        <v>983</v>
      </c>
      <c r="AO504" s="1"/>
      <c r="AP504" s="2">
        <v>44008.7388888889</v>
      </c>
      <c r="AQ504" s="1"/>
      <c r="AR504" s="1" t="s">
        <v>984</v>
      </c>
      <c r="AS504" s="1" t="s">
        <v>2383</v>
      </c>
      <c r="AT504" s="2">
        <v>44269.931099537</v>
      </c>
    </row>
    <row r="505" ht="13.5" customHeight="1">
      <c r="A505" s="1"/>
      <c r="B505" s="1" t="s">
        <v>46</v>
      </c>
      <c r="C505" s="1" t="s">
        <v>47</v>
      </c>
      <c r="D505" s="1"/>
      <c r="E505" s="1" t="s">
        <v>2423</v>
      </c>
      <c r="F505" s="1"/>
      <c r="G505" s="1" t="s">
        <v>49</v>
      </c>
      <c r="H505" s="1" t="s">
        <v>50</v>
      </c>
      <c r="I505" s="1">
        <v>1.47E7</v>
      </c>
      <c r="J505" s="1"/>
      <c r="K505" s="1" t="s">
        <v>140</v>
      </c>
      <c r="L505" s="1"/>
      <c r="M505" s="1" t="s">
        <v>2424</v>
      </c>
      <c r="N505" s="1" t="s">
        <v>283</v>
      </c>
      <c r="O505" s="1" t="s">
        <v>1133</v>
      </c>
      <c r="P505" s="2">
        <v>43808.5852546296</v>
      </c>
      <c r="Q505" s="1" t="s">
        <v>74</v>
      </c>
      <c r="R505" s="1"/>
      <c r="S505" s="1"/>
      <c r="T505" s="1">
        <v>3302403.0</v>
      </c>
      <c r="U505" s="1" t="s">
        <v>1371</v>
      </c>
      <c r="V505" s="1" t="s">
        <v>287</v>
      </c>
      <c r="W505" s="1" t="s">
        <v>288</v>
      </c>
      <c r="X505" s="1"/>
      <c r="Y505" s="1"/>
      <c r="Z505" s="1" t="s">
        <v>128</v>
      </c>
      <c r="AA505" s="1" t="s">
        <v>1449</v>
      </c>
      <c r="AB505" s="1" t="str">
        <f>"33000167100750"</f>
        <v>33000167100750</v>
      </c>
      <c r="AC505" s="1"/>
      <c r="AD505" s="1" t="s">
        <v>149</v>
      </c>
      <c r="AE505" s="1"/>
      <c r="AF505" s="1">
        <v>-40.419167</v>
      </c>
      <c r="AG505" s="1">
        <v>-22.373333</v>
      </c>
      <c r="AH505" s="1" t="s">
        <v>2297</v>
      </c>
      <c r="AI505" s="1"/>
      <c r="AJ505" s="1" t="s">
        <v>172</v>
      </c>
      <c r="AK505" s="1"/>
      <c r="AL505" s="1"/>
      <c r="AM505" s="1" t="s">
        <v>65</v>
      </c>
      <c r="AN505" s="1" t="s">
        <v>720</v>
      </c>
      <c r="AO505" s="1"/>
      <c r="AP505" s="2">
        <v>44013.7196180556</v>
      </c>
      <c r="AQ505" s="1"/>
      <c r="AR505" s="1" t="s">
        <v>1360</v>
      </c>
      <c r="AS505" s="1" t="s">
        <v>2425</v>
      </c>
      <c r="AT505" s="2">
        <v>44269.931099537</v>
      </c>
    </row>
    <row r="506" ht="13.5" customHeight="1">
      <c r="A506" s="1">
        <v>2039119.0</v>
      </c>
      <c r="B506" s="1" t="s">
        <v>67</v>
      </c>
      <c r="C506" s="1" t="s">
        <v>68</v>
      </c>
      <c r="D506" s="1" t="s">
        <v>46</v>
      </c>
      <c r="E506" s="1" t="s">
        <v>2426</v>
      </c>
      <c r="F506" s="1"/>
      <c r="G506" s="1" t="s">
        <v>70</v>
      </c>
      <c r="H506" s="1" t="s">
        <v>93</v>
      </c>
      <c r="I506" s="1">
        <v>205000.0</v>
      </c>
      <c r="J506" s="1"/>
      <c r="K506" s="1"/>
      <c r="L506" s="1" t="s">
        <v>172</v>
      </c>
      <c r="M506" s="1" t="s">
        <v>2427</v>
      </c>
      <c r="N506" s="1" t="s">
        <v>142</v>
      </c>
      <c r="O506" s="1" t="s">
        <v>143</v>
      </c>
      <c r="P506" s="2">
        <v>43808.5833333333</v>
      </c>
      <c r="Q506" s="1" t="s">
        <v>373</v>
      </c>
      <c r="R506" s="3">
        <v>43808.0</v>
      </c>
      <c r="S506" s="1"/>
      <c r="T506" s="1">
        <v>5108956.0</v>
      </c>
      <c r="U506" s="1" t="s">
        <v>2206</v>
      </c>
      <c r="V506" s="1" t="s">
        <v>164</v>
      </c>
      <c r="W506" s="1" t="s">
        <v>177</v>
      </c>
      <c r="X506" s="1"/>
      <c r="Y506" s="1" t="str">
        <f>"02001000677202015"</f>
        <v>02001000677202015</v>
      </c>
      <c r="Z506" s="1" t="s">
        <v>147</v>
      </c>
      <c r="AA506" s="1" t="s">
        <v>2428</v>
      </c>
      <c r="AB506" s="1" t="str">
        <f>"***666479**"</f>
        <v>***666479**</v>
      </c>
      <c r="AC506" s="1"/>
      <c r="AD506" s="1"/>
      <c r="AE506" s="1"/>
      <c r="AF506" s="1">
        <v>-57.473888</v>
      </c>
      <c r="AG506" s="1">
        <v>-10.21</v>
      </c>
      <c r="AH506" s="1" t="s">
        <v>2429</v>
      </c>
      <c r="AI506" s="1"/>
      <c r="AJ506" s="1" t="s">
        <v>172</v>
      </c>
      <c r="AK506" s="1"/>
      <c r="AL506" s="1" t="s">
        <v>79</v>
      </c>
      <c r="AM506" s="1" t="s">
        <v>65</v>
      </c>
      <c r="AN506" s="1" t="s">
        <v>1703</v>
      </c>
      <c r="AO506" s="2">
        <v>44054.0</v>
      </c>
      <c r="AP506" s="2">
        <v>44054.8188888889</v>
      </c>
      <c r="AQ506" s="1" t="s">
        <v>80</v>
      </c>
      <c r="AR506" s="1" t="s">
        <v>421</v>
      </c>
      <c r="AS506" s="1"/>
      <c r="AT506" s="2">
        <v>44269.931099537</v>
      </c>
    </row>
    <row r="507" ht="13.5" customHeight="1">
      <c r="A507" s="1">
        <v>2040157.0</v>
      </c>
      <c r="B507" s="1" t="s">
        <v>67</v>
      </c>
      <c r="C507" s="1" t="s">
        <v>68</v>
      </c>
      <c r="D507" s="1" t="s">
        <v>46</v>
      </c>
      <c r="E507" s="1" t="s">
        <v>2430</v>
      </c>
      <c r="F507" s="1"/>
      <c r="G507" s="1" t="s">
        <v>70</v>
      </c>
      <c r="H507" s="1" t="s">
        <v>93</v>
      </c>
      <c r="I507" s="1">
        <v>30000.0</v>
      </c>
      <c r="J507" s="1"/>
      <c r="K507" s="1"/>
      <c r="L507" s="1" t="s">
        <v>1172</v>
      </c>
      <c r="M507" s="1" t="s">
        <v>2431</v>
      </c>
      <c r="N507" s="1" t="s">
        <v>142</v>
      </c>
      <c r="O507" s="1" t="s">
        <v>143</v>
      </c>
      <c r="P507" s="2">
        <v>43808.5833333333</v>
      </c>
      <c r="Q507" s="1" t="s">
        <v>373</v>
      </c>
      <c r="R507" s="3">
        <v>43808.0</v>
      </c>
      <c r="S507" s="1"/>
      <c r="T507" s="1">
        <v>1504208.0</v>
      </c>
      <c r="U507" s="1" t="s">
        <v>1940</v>
      </c>
      <c r="V507" s="1" t="s">
        <v>193</v>
      </c>
      <c r="W507" s="1" t="s">
        <v>177</v>
      </c>
      <c r="X507" s="1"/>
      <c r="Y507" s="1"/>
      <c r="Z507" s="1" t="s">
        <v>147</v>
      </c>
      <c r="AA507" s="1" t="s">
        <v>2432</v>
      </c>
      <c r="AB507" s="1" t="str">
        <f>"***747111**"</f>
        <v>***747111**</v>
      </c>
      <c r="AC507" s="1"/>
      <c r="AD507" s="1"/>
      <c r="AE507" s="1"/>
      <c r="AF507" s="1">
        <v>-50.463612</v>
      </c>
      <c r="AG507" s="1">
        <v>-5.532777</v>
      </c>
      <c r="AH507" s="1" t="s">
        <v>2433</v>
      </c>
      <c r="AI507" s="1"/>
      <c r="AJ507" s="1" t="s">
        <v>1172</v>
      </c>
      <c r="AK507" s="1"/>
      <c r="AL507" s="1" t="s">
        <v>79</v>
      </c>
      <c r="AM507" s="1" t="s">
        <v>65</v>
      </c>
      <c r="AN507" s="1" t="s">
        <v>1943</v>
      </c>
      <c r="AO507" s="2">
        <v>44113.0</v>
      </c>
      <c r="AP507" s="2">
        <v>44113.6730671296</v>
      </c>
      <c r="AQ507" s="1" t="s">
        <v>80</v>
      </c>
      <c r="AR507" s="1" t="s">
        <v>650</v>
      </c>
      <c r="AS507" s="1" t="s">
        <v>1944</v>
      </c>
      <c r="AT507" s="2">
        <v>44269.931099537</v>
      </c>
    </row>
    <row r="508" ht="13.5" customHeight="1">
      <c r="A508" s="1">
        <v>2044045.0</v>
      </c>
      <c r="B508" s="1" t="s">
        <v>67</v>
      </c>
      <c r="C508" s="1" t="s">
        <v>68</v>
      </c>
      <c r="D508" s="1" t="s">
        <v>46</v>
      </c>
      <c r="E508" s="1" t="s">
        <v>2434</v>
      </c>
      <c r="F508" s="1"/>
      <c r="G508" s="1" t="s">
        <v>70</v>
      </c>
      <c r="H508" s="1" t="s">
        <v>50</v>
      </c>
      <c r="I508" s="1">
        <v>100000.0</v>
      </c>
      <c r="J508" s="1"/>
      <c r="K508" s="1"/>
      <c r="L508" s="1" t="s">
        <v>172</v>
      </c>
      <c r="M508" s="1" t="s">
        <v>2435</v>
      </c>
      <c r="N508" s="1" t="s">
        <v>283</v>
      </c>
      <c r="O508" s="1" t="s">
        <v>1133</v>
      </c>
      <c r="P508" s="2">
        <v>43808.5833333333</v>
      </c>
      <c r="Q508" s="1" t="s">
        <v>74</v>
      </c>
      <c r="R508" s="1"/>
      <c r="S508" s="1"/>
      <c r="T508" s="1">
        <v>3302403.0</v>
      </c>
      <c r="U508" s="1" t="s">
        <v>1371</v>
      </c>
      <c r="V508" s="1" t="s">
        <v>287</v>
      </c>
      <c r="W508" s="1" t="s">
        <v>288</v>
      </c>
      <c r="X508" s="1"/>
      <c r="Y508" s="1" t="str">
        <f>"02001035094201971"</f>
        <v>02001035094201971</v>
      </c>
      <c r="Z508" s="1" t="s">
        <v>128</v>
      </c>
      <c r="AA508" s="1" t="s">
        <v>1449</v>
      </c>
      <c r="AB508" s="1" t="str">
        <f>"33000167100750"</f>
        <v>33000167100750</v>
      </c>
      <c r="AC508" s="1"/>
      <c r="AD508" s="1"/>
      <c r="AE508" s="1"/>
      <c r="AF508" s="1">
        <v>-40.419167</v>
      </c>
      <c r="AG508" s="1">
        <v>-22.373333</v>
      </c>
      <c r="AH508" s="1" t="s">
        <v>2297</v>
      </c>
      <c r="AI508" s="1"/>
      <c r="AJ508" s="1" t="s">
        <v>172</v>
      </c>
      <c r="AK508" s="1"/>
      <c r="AL508" s="1" t="s">
        <v>79</v>
      </c>
      <c r="AM508" s="1" t="s">
        <v>65</v>
      </c>
      <c r="AN508" s="1" t="s">
        <v>720</v>
      </c>
      <c r="AO508" s="2">
        <v>44260.0</v>
      </c>
      <c r="AP508" s="2">
        <v>44260.4382291667</v>
      </c>
      <c r="AQ508" s="1" t="s">
        <v>80</v>
      </c>
      <c r="AR508" s="1" t="s">
        <v>1485</v>
      </c>
      <c r="AS508" s="1" t="s">
        <v>1361</v>
      </c>
      <c r="AT508" s="2">
        <v>44269.931099537</v>
      </c>
    </row>
    <row r="509" ht="13.5" customHeight="1">
      <c r="A509" s="1"/>
      <c r="B509" s="1" t="s">
        <v>46</v>
      </c>
      <c r="C509" s="1" t="s">
        <v>47</v>
      </c>
      <c r="D509" s="1"/>
      <c r="E509" s="1" t="s">
        <v>2436</v>
      </c>
      <c r="F509" s="1"/>
      <c r="G509" s="1" t="s">
        <v>49</v>
      </c>
      <c r="H509" s="1" t="s">
        <v>50</v>
      </c>
      <c r="I509" s="1">
        <v>45000.0</v>
      </c>
      <c r="J509" s="1"/>
      <c r="K509" s="1" t="s">
        <v>51</v>
      </c>
      <c r="L509" s="1"/>
      <c r="M509" s="1" t="s">
        <v>2381</v>
      </c>
      <c r="N509" s="1" t="s">
        <v>977</v>
      </c>
      <c r="O509" s="1" t="s">
        <v>978</v>
      </c>
      <c r="P509" s="2">
        <v>43808.5795833333</v>
      </c>
      <c r="Q509" s="1" t="s">
        <v>74</v>
      </c>
      <c r="R509" s="1"/>
      <c r="S509" s="1"/>
      <c r="T509" s="1">
        <v>3553500.0</v>
      </c>
      <c r="U509" s="1" t="s">
        <v>2437</v>
      </c>
      <c r="V509" s="1" t="s">
        <v>58</v>
      </c>
      <c r="W509" s="1" t="s">
        <v>59</v>
      </c>
      <c r="X509" s="1"/>
      <c r="Y509" s="1"/>
      <c r="Z509" s="1" t="s">
        <v>980</v>
      </c>
      <c r="AA509" s="1" t="s">
        <v>2438</v>
      </c>
      <c r="AB509" s="1" t="str">
        <f>"68377894000177"</f>
        <v>68377894000177</v>
      </c>
      <c r="AC509" s="1"/>
      <c r="AD509" s="1" t="s">
        <v>149</v>
      </c>
      <c r="AE509" s="1"/>
      <c r="AF509" s="1">
        <v>-47.600555</v>
      </c>
      <c r="AG509" s="1">
        <v>-24.117779</v>
      </c>
      <c r="AH509" s="1" t="s">
        <v>982</v>
      </c>
      <c r="AI509" s="1"/>
      <c r="AJ509" s="1" t="s">
        <v>172</v>
      </c>
      <c r="AK509" s="1"/>
      <c r="AL509" s="1"/>
      <c r="AM509" s="1" t="s">
        <v>65</v>
      </c>
      <c r="AN509" s="1" t="s">
        <v>983</v>
      </c>
      <c r="AO509" s="1"/>
      <c r="AP509" s="2">
        <v>44008.7391319444</v>
      </c>
      <c r="AQ509" s="1"/>
      <c r="AR509" s="1" t="s">
        <v>984</v>
      </c>
      <c r="AS509" s="1" t="s">
        <v>2383</v>
      </c>
      <c r="AT509" s="2">
        <v>44269.931099537</v>
      </c>
    </row>
    <row r="510" ht="13.5" customHeight="1">
      <c r="A510" s="1"/>
      <c r="B510" s="1" t="s">
        <v>46</v>
      </c>
      <c r="C510" s="1" t="s">
        <v>47</v>
      </c>
      <c r="D510" s="1"/>
      <c r="E510" s="1" t="s">
        <v>2439</v>
      </c>
      <c r="F510" s="1"/>
      <c r="G510" s="1" t="s">
        <v>49</v>
      </c>
      <c r="H510" s="1" t="s">
        <v>50</v>
      </c>
      <c r="I510" s="1">
        <v>85000.0</v>
      </c>
      <c r="J510" s="1"/>
      <c r="K510" s="1" t="s">
        <v>140</v>
      </c>
      <c r="L510" s="1"/>
      <c r="M510" s="1" t="s">
        <v>2381</v>
      </c>
      <c r="N510" s="1" t="s">
        <v>977</v>
      </c>
      <c r="O510" s="1" t="s">
        <v>978</v>
      </c>
      <c r="P510" s="2">
        <v>43808.5712152778</v>
      </c>
      <c r="Q510" s="1" t="s">
        <v>74</v>
      </c>
      <c r="R510" s="1"/>
      <c r="S510" s="1"/>
      <c r="T510" s="1">
        <v>3550308.0</v>
      </c>
      <c r="U510" s="1" t="s">
        <v>607</v>
      </c>
      <c r="V510" s="1" t="s">
        <v>58</v>
      </c>
      <c r="W510" s="1" t="s">
        <v>59</v>
      </c>
      <c r="X510" s="1"/>
      <c r="Y510" s="1"/>
      <c r="Z510" s="1" t="s">
        <v>980</v>
      </c>
      <c r="AA510" s="1" t="s">
        <v>2440</v>
      </c>
      <c r="AB510" s="1" t="str">
        <f>"62227509000129"</f>
        <v>62227509000129</v>
      </c>
      <c r="AC510" s="1"/>
      <c r="AD510" s="1" t="s">
        <v>149</v>
      </c>
      <c r="AE510" s="1"/>
      <c r="AF510" s="1">
        <v>-46.765556</v>
      </c>
      <c r="AG510" s="1">
        <v>-23.577499</v>
      </c>
      <c r="AH510" s="1" t="s">
        <v>982</v>
      </c>
      <c r="AI510" s="1"/>
      <c r="AJ510" s="1" t="s">
        <v>172</v>
      </c>
      <c r="AK510" s="1"/>
      <c r="AL510" s="1"/>
      <c r="AM510" s="1" t="s">
        <v>65</v>
      </c>
      <c r="AN510" s="1" t="s">
        <v>983</v>
      </c>
      <c r="AO510" s="1"/>
      <c r="AP510" s="2">
        <v>44008.7392592593</v>
      </c>
      <c r="AQ510" s="1"/>
      <c r="AR510" s="1" t="s">
        <v>984</v>
      </c>
      <c r="AS510" s="1" t="s">
        <v>2441</v>
      </c>
      <c r="AT510" s="2">
        <v>44269.931099537</v>
      </c>
    </row>
    <row r="511" ht="13.5" customHeight="1">
      <c r="A511" s="1"/>
      <c r="B511" s="1" t="s">
        <v>46</v>
      </c>
      <c r="C511" s="1" t="s">
        <v>47</v>
      </c>
      <c r="D511" s="1"/>
      <c r="E511" s="1" t="s">
        <v>2442</v>
      </c>
      <c r="F511" s="1"/>
      <c r="G511" s="1" t="s">
        <v>49</v>
      </c>
      <c r="H511" s="1" t="s">
        <v>50</v>
      </c>
      <c r="I511" s="1">
        <v>805000.0</v>
      </c>
      <c r="J511" s="1"/>
      <c r="K511" s="1" t="s">
        <v>140</v>
      </c>
      <c r="L511" s="1"/>
      <c r="M511" s="1" t="s">
        <v>2381</v>
      </c>
      <c r="N511" s="1" t="s">
        <v>977</v>
      </c>
      <c r="O511" s="1" t="s">
        <v>978</v>
      </c>
      <c r="P511" s="2">
        <v>43808.5630324074</v>
      </c>
      <c r="Q511" s="1" t="s">
        <v>74</v>
      </c>
      <c r="R511" s="1"/>
      <c r="S511" s="1"/>
      <c r="T511" s="1">
        <v>3509205.0</v>
      </c>
      <c r="U511" s="1" t="s">
        <v>2443</v>
      </c>
      <c r="V511" s="1" t="s">
        <v>58</v>
      </c>
      <c r="W511" s="1" t="s">
        <v>59</v>
      </c>
      <c r="X511" s="1"/>
      <c r="Y511" s="1"/>
      <c r="Z511" s="1" t="s">
        <v>980</v>
      </c>
      <c r="AA511" s="1" t="s">
        <v>2444</v>
      </c>
      <c r="AB511" s="1" t="str">
        <f>"02135974000108"</f>
        <v>02135974000108</v>
      </c>
      <c r="AC511" s="1"/>
      <c r="AD511" s="1" t="s">
        <v>149</v>
      </c>
      <c r="AE511" s="1"/>
      <c r="AF511" s="1">
        <v>-46.953609</v>
      </c>
      <c r="AG511" s="1">
        <v>-23.393612</v>
      </c>
      <c r="AH511" s="1" t="s">
        <v>982</v>
      </c>
      <c r="AI511" s="1"/>
      <c r="AJ511" s="1" t="s">
        <v>172</v>
      </c>
      <c r="AK511" s="1"/>
      <c r="AL511" s="1"/>
      <c r="AM511" s="1" t="s">
        <v>65</v>
      </c>
      <c r="AN511" s="1" t="s">
        <v>983</v>
      </c>
      <c r="AO511" s="1"/>
      <c r="AP511" s="2">
        <v>44008.739375</v>
      </c>
      <c r="AQ511" s="1"/>
      <c r="AR511" s="1" t="s">
        <v>984</v>
      </c>
      <c r="AS511" s="1" t="s">
        <v>2383</v>
      </c>
      <c r="AT511" s="2">
        <v>44269.931099537</v>
      </c>
    </row>
    <row r="512" ht="13.5" customHeight="1">
      <c r="A512" s="1">
        <v>2042607.0</v>
      </c>
      <c r="B512" s="1" t="s">
        <v>67</v>
      </c>
      <c r="C512" s="1" t="s">
        <v>68</v>
      </c>
      <c r="D512" s="1" t="s">
        <v>46</v>
      </c>
      <c r="E512" s="1" t="s">
        <v>2445</v>
      </c>
      <c r="F512" s="1"/>
      <c r="G512" s="1" t="s">
        <v>70</v>
      </c>
      <c r="H512" s="1" t="s">
        <v>50</v>
      </c>
      <c r="I512" s="1">
        <v>9000.0</v>
      </c>
      <c r="J512" s="1"/>
      <c r="K512" s="1"/>
      <c r="L512" s="1" t="s">
        <v>172</v>
      </c>
      <c r="M512" s="1" t="s">
        <v>2381</v>
      </c>
      <c r="N512" s="1" t="s">
        <v>283</v>
      </c>
      <c r="O512" s="1" t="s">
        <v>978</v>
      </c>
      <c r="P512" s="2">
        <v>43808.5416666667</v>
      </c>
      <c r="Q512" s="1" t="s">
        <v>74</v>
      </c>
      <c r="R512" s="3">
        <v>43844.0</v>
      </c>
      <c r="S512" s="1"/>
      <c r="T512" s="1">
        <v>3556453.0</v>
      </c>
      <c r="U512" s="1" t="s">
        <v>2446</v>
      </c>
      <c r="V512" s="1" t="s">
        <v>58</v>
      </c>
      <c r="W512" s="1" t="s">
        <v>59</v>
      </c>
      <c r="X512" s="1"/>
      <c r="Y512" s="1" t="str">
        <f>"02001036546201932"</f>
        <v>02001036546201932</v>
      </c>
      <c r="Z512" s="1" t="s">
        <v>980</v>
      </c>
      <c r="AA512" s="1" t="s">
        <v>2447</v>
      </c>
      <c r="AB512" s="1" t="str">
        <f>"57635260000150"</f>
        <v>57635260000150</v>
      </c>
      <c r="AC512" s="1"/>
      <c r="AD512" s="1"/>
      <c r="AE512" s="1"/>
      <c r="AF512" s="1">
        <v>-47.144722</v>
      </c>
      <c r="AG512" s="1">
        <v>-23.624445</v>
      </c>
      <c r="AH512" s="1" t="s">
        <v>982</v>
      </c>
      <c r="AI512" s="1"/>
      <c r="AJ512" s="1" t="s">
        <v>172</v>
      </c>
      <c r="AK512" s="1"/>
      <c r="AL512" s="1" t="s">
        <v>79</v>
      </c>
      <c r="AM512" s="1" t="s">
        <v>65</v>
      </c>
      <c r="AN512" s="1" t="s">
        <v>983</v>
      </c>
      <c r="AO512" s="2">
        <v>44210.0</v>
      </c>
      <c r="AP512" s="2">
        <v>44210.6825694444</v>
      </c>
      <c r="AQ512" s="1" t="s">
        <v>80</v>
      </c>
      <c r="AR512" s="1" t="s">
        <v>1050</v>
      </c>
      <c r="AS512" s="1" t="s">
        <v>2383</v>
      </c>
      <c r="AT512" s="2">
        <v>44269.931099537</v>
      </c>
    </row>
    <row r="513" ht="13.5" customHeight="1">
      <c r="A513" s="1"/>
      <c r="B513" s="1" t="s">
        <v>46</v>
      </c>
      <c r="C513" s="1" t="s">
        <v>47</v>
      </c>
      <c r="D513" s="1"/>
      <c r="E513" s="1" t="s">
        <v>2448</v>
      </c>
      <c r="F513" s="1"/>
      <c r="G513" s="1" t="s">
        <v>49</v>
      </c>
      <c r="H513" s="1" t="s">
        <v>50</v>
      </c>
      <c r="I513" s="1">
        <v>3.5055E7</v>
      </c>
      <c r="J513" s="1"/>
      <c r="K513" s="1" t="s">
        <v>140</v>
      </c>
      <c r="L513" s="1"/>
      <c r="M513" s="1" t="s">
        <v>2449</v>
      </c>
      <c r="N513" s="1" t="s">
        <v>212</v>
      </c>
      <c r="O513" s="1" t="s">
        <v>213</v>
      </c>
      <c r="P513" s="2">
        <v>43808.5343055556</v>
      </c>
      <c r="Q513" s="1" t="s">
        <v>74</v>
      </c>
      <c r="R513" s="1"/>
      <c r="S513" s="1"/>
      <c r="T513" s="1">
        <v>5300108.0</v>
      </c>
      <c r="U513" s="1" t="s">
        <v>1541</v>
      </c>
      <c r="V513" s="1" t="s">
        <v>1542</v>
      </c>
      <c r="W513" s="1" t="s">
        <v>288</v>
      </c>
      <c r="X513" s="1"/>
      <c r="Y513" s="1"/>
      <c r="Z513" s="1" t="s">
        <v>215</v>
      </c>
      <c r="AA513" s="1" t="s">
        <v>1449</v>
      </c>
      <c r="AB513" s="1" t="str">
        <f>"33000167100750"</f>
        <v>33000167100750</v>
      </c>
      <c r="AC513" s="1"/>
      <c r="AD513" s="1" t="s">
        <v>149</v>
      </c>
      <c r="AE513" s="1"/>
      <c r="AF513" s="1">
        <v>-47.861942</v>
      </c>
      <c r="AG513" s="1">
        <v>-15.766944</v>
      </c>
      <c r="AH513" s="1" t="s">
        <v>2450</v>
      </c>
      <c r="AI513" s="1"/>
      <c r="AJ513" s="1" t="s">
        <v>172</v>
      </c>
      <c r="AK513" s="1"/>
      <c r="AL513" s="1"/>
      <c r="AM513" s="1" t="s">
        <v>65</v>
      </c>
      <c r="AN513" s="1" t="s">
        <v>720</v>
      </c>
      <c r="AO513" s="1"/>
      <c r="AP513" s="2">
        <v>43808.5463425926</v>
      </c>
      <c r="AQ513" s="1"/>
      <c r="AR513" s="1" t="s">
        <v>1843</v>
      </c>
      <c r="AS513" s="1" t="s">
        <v>2451</v>
      </c>
      <c r="AT513" s="2">
        <v>44269.931099537</v>
      </c>
    </row>
    <row r="514" ht="13.5" customHeight="1">
      <c r="A514" s="1"/>
      <c r="B514" s="1" t="s">
        <v>46</v>
      </c>
      <c r="C514" s="1" t="s">
        <v>47</v>
      </c>
      <c r="D514" s="1"/>
      <c r="E514" s="1" t="s">
        <v>2452</v>
      </c>
      <c r="F514" s="1"/>
      <c r="G514" s="1" t="s">
        <v>49</v>
      </c>
      <c r="H514" s="1" t="s">
        <v>50</v>
      </c>
      <c r="I514" s="1">
        <v>100000.0</v>
      </c>
      <c r="J514" s="1"/>
      <c r="K514" s="1" t="s">
        <v>51</v>
      </c>
      <c r="L514" s="1"/>
      <c r="M514" s="1" t="s">
        <v>2453</v>
      </c>
      <c r="N514" s="1" t="s">
        <v>283</v>
      </c>
      <c r="O514" s="1" t="s">
        <v>1133</v>
      </c>
      <c r="P514" s="2">
        <v>43808.5330671296</v>
      </c>
      <c r="Q514" s="1" t="s">
        <v>74</v>
      </c>
      <c r="R514" s="1"/>
      <c r="S514" s="1"/>
      <c r="T514" s="1">
        <v>3204302.0</v>
      </c>
      <c r="U514" s="1" t="s">
        <v>1380</v>
      </c>
      <c r="V514" s="1" t="s">
        <v>403</v>
      </c>
      <c r="W514" s="1" t="s">
        <v>288</v>
      </c>
      <c r="X514" s="1"/>
      <c r="Y514" s="1"/>
      <c r="Z514" s="1" t="s">
        <v>128</v>
      </c>
      <c r="AA514" s="1" t="s">
        <v>1381</v>
      </c>
      <c r="AB514" s="1" t="str">
        <f>"33000167000454"</f>
        <v>33000167000454</v>
      </c>
      <c r="AC514" s="1"/>
      <c r="AD514" s="1" t="s">
        <v>149</v>
      </c>
      <c r="AE514" s="1"/>
      <c r="AF514" s="1">
        <v>-39.971111</v>
      </c>
      <c r="AG514" s="1">
        <v>-21.301943</v>
      </c>
      <c r="AH514" s="1" t="s">
        <v>2454</v>
      </c>
      <c r="AI514" s="1"/>
      <c r="AJ514" s="1" t="s">
        <v>172</v>
      </c>
      <c r="AK514" s="1"/>
      <c r="AL514" s="1"/>
      <c r="AM514" s="1" t="s">
        <v>65</v>
      </c>
      <c r="AN514" s="1" t="s">
        <v>720</v>
      </c>
      <c r="AO514" s="1"/>
      <c r="AP514" s="2">
        <v>44013.7198842593</v>
      </c>
      <c r="AQ514" s="1"/>
      <c r="AR514" s="1" t="s">
        <v>1360</v>
      </c>
      <c r="AS514" s="1" t="s">
        <v>1361</v>
      </c>
      <c r="AT514" s="2">
        <v>44269.931099537</v>
      </c>
    </row>
    <row r="515" ht="13.5" customHeight="1">
      <c r="A515" s="1"/>
      <c r="B515" s="1" t="s">
        <v>46</v>
      </c>
      <c r="C515" s="1" t="s">
        <v>47</v>
      </c>
      <c r="D515" s="1"/>
      <c r="E515" s="1" t="s">
        <v>2455</v>
      </c>
      <c r="F515" s="1"/>
      <c r="G515" s="1" t="s">
        <v>49</v>
      </c>
      <c r="H515" s="1" t="s">
        <v>93</v>
      </c>
      <c r="I515" s="1">
        <v>140000.0</v>
      </c>
      <c r="J515" s="1"/>
      <c r="K515" s="1"/>
      <c r="L515" s="1"/>
      <c r="M515" s="1" t="s">
        <v>2456</v>
      </c>
      <c r="N515" s="1" t="s">
        <v>142</v>
      </c>
      <c r="O515" s="1" t="s">
        <v>143</v>
      </c>
      <c r="P515" s="2">
        <v>43808.5166898148</v>
      </c>
      <c r="Q515" s="1" t="s">
        <v>373</v>
      </c>
      <c r="R515" s="1"/>
      <c r="S515" s="1"/>
      <c r="T515" s="1">
        <v>1100148.0</v>
      </c>
      <c r="U515" s="1" t="s">
        <v>2457</v>
      </c>
      <c r="V515" s="1" t="s">
        <v>448</v>
      </c>
      <c r="W515" s="1" t="s">
        <v>177</v>
      </c>
      <c r="X515" s="1"/>
      <c r="Y515" s="1"/>
      <c r="Z515" s="1" t="s">
        <v>147</v>
      </c>
      <c r="AA515" s="1" t="s">
        <v>2458</v>
      </c>
      <c r="AB515" s="1" t="str">
        <f>"***497322**"</f>
        <v>***497322**</v>
      </c>
      <c r="AC515" s="1"/>
      <c r="AD515" s="1" t="s">
        <v>116</v>
      </c>
      <c r="AE515" s="1"/>
      <c r="AF515" s="1">
        <v>-62.307499</v>
      </c>
      <c r="AG515" s="1">
        <v>-11.702778</v>
      </c>
      <c r="AH515" s="1" t="s">
        <v>2459</v>
      </c>
      <c r="AI515" s="1"/>
      <c r="AJ515" s="1" t="s">
        <v>172</v>
      </c>
      <c r="AK515" s="1"/>
      <c r="AL515" s="1"/>
      <c r="AM515" s="1" t="s">
        <v>65</v>
      </c>
      <c r="AN515" s="1" t="s">
        <v>1395</v>
      </c>
      <c r="AO515" s="1"/>
      <c r="AP515" s="2">
        <v>43808.5837962963</v>
      </c>
      <c r="AQ515" s="1"/>
      <c r="AR515" s="1" t="s">
        <v>871</v>
      </c>
      <c r="AS515" s="1"/>
      <c r="AT515" s="2">
        <v>44269.931099537</v>
      </c>
    </row>
    <row r="516" ht="13.5" customHeight="1">
      <c r="A516" s="1"/>
      <c r="B516" s="1" t="s">
        <v>46</v>
      </c>
      <c r="C516" s="1" t="s">
        <v>47</v>
      </c>
      <c r="D516" s="1"/>
      <c r="E516" s="1" t="s">
        <v>2460</v>
      </c>
      <c r="F516" s="1"/>
      <c r="G516" s="1" t="s">
        <v>49</v>
      </c>
      <c r="H516" s="1" t="s">
        <v>93</v>
      </c>
      <c r="I516" s="1">
        <v>1300.0</v>
      </c>
      <c r="J516" s="1"/>
      <c r="K516" s="1" t="s">
        <v>51</v>
      </c>
      <c r="L516" s="1"/>
      <c r="M516" s="1" t="s">
        <v>2461</v>
      </c>
      <c r="N516" s="1" t="s">
        <v>108</v>
      </c>
      <c r="O516" s="1" t="s">
        <v>109</v>
      </c>
      <c r="P516" s="2">
        <v>43808.5036805555</v>
      </c>
      <c r="Q516" s="1" t="s">
        <v>74</v>
      </c>
      <c r="R516" s="3">
        <v>43812.0</v>
      </c>
      <c r="S516" s="1"/>
      <c r="T516" s="1">
        <v>3509502.0</v>
      </c>
      <c r="U516" s="1" t="s">
        <v>97</v>
      </c>
      <c r="V516" s="1" t="s">
        <v>58</v>
      </c>
      <c r="W516" s="1" t="s">
        <v>59</v>
      </c>
      <c r="X516" s="1"/>
      <c r="Y516" s="1"/>
      <c r="Z516" s="1" t="s">
        <v>226</v>
      </c>
      <c r="AA516" s="1" t="s">
        <v>2462</v>
      </c>
      <c r="AB516" s="1" t="str">
        <f>"48075816000100"</f>
        <v>48075816000100</v>
      </c>
      <c r="AC516" s="1"/>
      <c r="AD516" s="1" t="s">
        <v>62</v>
      </c>
      <c r="AE516" s="1"/>
      <c r="AF516" s="1">
        <v>-47.144169</v>
      </c>
      <c r="AG516" s="1">
        <v>-23.007778</v>
      </c>
      <c r="AH516" s="1" t="s">
        <v>2463</v>
      </c>
      <c r="AI516" s="1"/>
      <c r="AJ516" s="1" t="s">
        <v>101</v>
      </c>
      <c r="AK516" s="1"/>
      <c r="AL516" s="1"/>
      <c r="AM516" s="1" t="s">
        <v>65</v>
      </c>
      <c r="AN516" s="1" t="s">
        <v>102</v>
      </c>
      <c r="AO516" s="1"/>
      <c r="AP516" s="2">
        <v>43808.5080787037</v>
      </c>
      <c r="AQ516" s="1"/>
      <c r="AR516" s="1" t="s">
        <v>899</v>
      </c>
      <c r="AS516" s="1"/>
      <c r="AT516" s="2">
        <v>44269.931099537</v>
      </c>
    </row>
    <row r="517" ht="13.5" customHeight="1">
      <c r="A517" s="1">
        <v>2040053.0</v>
      </c>
      <c r="B517" s="1" t="s">
        <v>67</v>
      </c>
      <c r="C517" s="1" t="s">
        <v>68</v>
      </c>
      <c r="D517" s="1" t="s">
        <v>46</v>
      </c>
      <c r="E517" s="1" t="s">
        <v>2464</v>
      </c>
      <c r="F517" s="1"/>
      <c r="G517" s="1" t="s">
        <v>70</v>
      </c>
      <c r="H517" s="1" t="s">
        <v>50</v>
      </c>
      <c r="I517" s="1">
        <v>4400000.0</v>
      </c>
      <c r="J517" s="1"/>
      <c r="K517" s="1"/>
      <c r="L517" s="1" t="s">
        <v>172</v>
      </c>
      <c r="M517" s="1" t="s">
        <v>2465</v>
      </c>
      <c r="N517" s="1" t="s">
        <v>283</v>
      </c>
      <c r="O517" s="1" t="s">
        <v>1133</v>
      </c>
      <c r="P517" s="2">
        <v>43808.5</v>
      </c>
      <c r="Q517" s="1" t="s">
        <v>74</v>
      </c>
      <c r="R517" s="1"/>
      <c r="S517" s="1"/>
      <c r="T517" s="1">
        <v>3302403.0</v>
      </c>
      <c r="U517" s="1" t="s">
        <v>1371</v>
      </c>
      <c r="V517" s="1" t="s">
        <v>287</v>
      </c>
      <c r="W517" s="1" t="s">
        <v>288</v>
      </c>
      <c r="X517" s="1"/>
      <c r="Y517" s="1" t="str">
        <f>"02001035306201911"</f>
        <v>02001035306201911</v>
      </c>
      <c r="Z517" s="1" t="s">
        <v>128</v>
      </c>
      <c r="AA517" s="1" t="s">
        <v>1449</v>
      </c>
      <c r="AB517" s="1" t="str">
        <f t="shared" ref="AB517:AB518" si="25">"33000167100750"</f>
        <v>33000167100750</v>
      </c>
      <c r="AC517" s="1"/>
      <c r="AD517" s="1"/>
      <c r="AE517" s="1"/>
      <c r="AF517" s="1">
        <v>-40.419167</v>
      </c>
      <c r="AG517" s="1">
        <v>-22.373333</v>
      </c>
      <c r="AH517" s="1" t="s">
        <v>2297</v>
      </c>
      <c r="AI517" s="1"/>
      <c r="AJ517" s="1" t="s">
        <v>172</v>
      </c>
      <c r="AK517" s="1"/>
      <c r="AL517" s="1" t="s">
        <v>79</v>
      </c>
      <c r="AM517" s="1" t="s">
        <v>65</v>
      </c>
      <c r="AN517" s="1" t="s">
        <v>720</v>
      </c>
      <c r="AO517" s="2">
        <v>44085.0</v>
      </c>
      <c r="AP517" s="2">
        <v>44085.415</v>
      </c>
      <c r="AQ517" s="1" t="s">
        <v>80</v>
      </c>
      <c r="AR517" s="1" t="s">
        <v>1485</v>
      </c>
      <c r="AS517" s="1" t="s">
        <v>1361</v>
      </c>
      <c r="AT517" s="2">
        <v>44269.931099537</v>
      </c>
    </row>
    <row r="518" ht="13.5" customHeight="1">
      <c r="A518" s="1"/>
      <c r="B518" s="1" t="s">
        <v>46</v>
      </c>
      <c r="C518" s="1" t="s">
        <v>47</v>
      </c>
      <c r="D518" s="1"/>
      <c r="E518" s="1" t="s">
        <v>2466</v>
      </c>
      <c r="F518" s="1"/>
      <c r="G518" s="1" t="s">
        <v>49</v>
      </c>
      <c r="H518" s="1" t="s">
        <v>50</v>
      </c>
      <c r="I518" s="1">
        <v>100000.0</v>
      </c>
      <c r="J518" s="1"/>
      <c r="K518" s="1" t="s">
        <v>51</v>
      </c>
      <c r="L518" s="1"/>
      <c r="M518" s="1" t="s">
        <v>2467</v>
      </c>
      <c r="N518" s="1" t="s">
        <v>283</v>
      </c>
      <c r="O518" s="1" t="s">
        <v>1133</v>
      </c>
      <c r="P518" s="2">
        <v>43808.4891550926</v>
      </c>
      <c r="Q518" s="1" t="s">
        <v>74</v>
      </c>
      <c r="R518" s="1"/>
      <c r="S518" s="1"/>
      <c r="T518" s="1">
        <v>3302403.0</v>
      </c>
      <c r="U518" s="1" t="s">
        <v>1371</v>
      </c>
      <c r="V518" s="1" t="s">
        <v>287</v>
      </c>
      <c r="W518" s="1" t="s">
        <v>288</v>
      </c>
      <c r="X518" s="1"/>
      <c r="Y518" s="1"/>
      <c r="Z518" s="1" t="s">
        <v>128</v>
      </c>
      <c r="AA518" s="1" t="s">
        <v>1449</v>
      </c>
      <c r="AB518" s="1" t="str">
        <f t="shared" si="25"/>
        <v>33000167100750</v>
      </c>
      <c r="AC518" s="1"/>
      <c r="AD518" s="1" t="s">
        <v>149</v>
      </c>
      <c r="AE518" s="1"/>
      <c r="AF518" s="1">
        <v>-40.47028</v>
      </c>
      <c r="AG518" s="1">
        <v>-22.464724</v>
      </c>
      <c r="AH518" s="1" t="s">
        <v>1527</v>
      </c>
      <c r="AI518" s="1"/>
      <c r="AJ518" s="1" t="s">
        <v>172</v>
      </c>
      <c r="AK518" s="1"/>
      <c r="AL518" s="1"/>
      <c r="AM518" s="1" t="s">
        <v>65</v>
      </c>
      <c r="AN518" s="1" t="s">
        <v>720</v>
      </c>
      <c r="AO518" s="1"/>
      <c r="AP518" s="2">
        <v>44013.7200578704</v>
      </c>
      <c r="AQ518" s="1"/>
      <c r="AR518" s="1" t="s">
        <v>1360</v>
      </c>
      <c r="AS518" s="1" t="s">
        <v>1361</v>
      </c>
      <c r="AT518" s="2">
        <v>44269.931099537</v>
      </c>
    </row>
    <row r="519" ht="13.5" customHeight="1">
      <c r="A519" s="1">
        <v>2035493.0</v>
      </c>
      <c r="B519" s="1" t="s">
        <v>67</v>
      </c>
      <c r="C519" s="1" t="s">
        <v>68</v>
      </c>
      <c r="D519" s="1" t="s">
        <v>46</v>
      </c>
      <c r="E519" s="1" t="s">
        <v>2468</v>
      </c>
      <c r="F519" s="1"/>
      <c r="G519" s="1" t="s">
        <v>70</v>
      </c>
      <c r="H519" s="1" t="s">
        <v>93</v>
      </c>
      <c r="I519" s="1">
        <v>360900.0</v>
      </c>
      <c r="J519" s="1"/>
      <c r="K519" s="1"/>
      <c r="L519" s="1" t="s">
        <v>172</v>
      </c>
      <c r="M519" s="1" t="s">
        <v>2469</v>
      </c>
      <c r="N519" s="1" t="s">
        <v>142</v>
      </c>
      <c r="O519" s="1" t="s">
        <v>143</v>
      </c>
      <c r="P519" s="2">
        <v>43808.4583333333</v>
      </c>
      <c r="Q519" s="1" t="s">
        <v>74</v>
      </c>
      <c r="R519" s="3">
        <v>43808.0</v>
      </c>
      <c r="S519" s="1"/>
      <c r="T519" s="1">
        <v>1300706.0</v>
      </c>
      <c r="U519" s="1" t="s">
        <v>2161</v>
      </c>
      <c r="V519" s="1" t="s">
        <v>486</v>
      </c>
      <c r="W519" s="1" t="s">
        <v>177</v>
      </c>
      <c r="X519" s="1"/>
      <c r="Y519" s="1" t="str">
        <f>"02001007137202062"</f>
        <v>02001007137202062</v>
      </c>
      <c r="Z519" s="1" t="s">
        <v>147</v>
      </c>
      <c r="AA519" s="1" t="s">
        <v>2162</v>
      </c>
      <c r="AB519" s="1" t="str">
        <f>"***730932**"</f>
        <v>***730932**</v>
      </c>
      <c r="AC519" s="1"/>
      <c r="AD519" s="1"/>
      <c r="AE519" s="1"/>
      <c r="AF519" s="1">
        <v>-67.609444</v>
      </c>
      <c r="AG519" s="1">
        <v>-9.382222</v>
      </c>
      <c r="AH519" s="1" t="s">
        <v>2470</v>
      </c>
      <c r="AI519" s="1"/>
      <c r="AJ519" s="1" t="s">
        <v>172</v>
      </c>
      <c r="AK519" s="1"/>
      <c r="AL519" s="1" t="s">
        <v>79</v>
      </c>
      <c r="AM519" s="1" t="s">
        <v>65</v>
      </c>
      <c r="AN519" s="1" t="s">
        <v>2164</v>
      </c>
      <c r="AO519" s="2">
        <v>43906.0</v>
      </c>
      <c r="AP519" s="2">
        <v>43906.7055439815</v>
      </c>
      <c r="AQ519" s="1" t="s">
        <v>80</v>
      </c>
      <c r="AR519" s="1" t="s">
        <v>2471</v>
      </c>
      <c r="AS519" s="1"/>
      <c r="AT519" s="2">
        <v>44269.931099537</v>
      </c>
    </row>
    <row r="520" ht="13.5" customHeight="1">
      <c r="A520" s="1">
        <v>2041635.0</v>
      </c>
      <c r="B520" s="1" t="s">
        <v>67</v>
      </c>
      <c r="C520" s="1" t="s">
        <v>68</v>
      </c>
      <c r="D520" s="1" t="s">
        <v>46</v>
      </c>
      <c r="E520" s="1" t="s">
        <v>2472</v>
      </c>
      <c r="F520" s="1"/>
      <c r="G520" s="1" t="s">
        <v>70</v>
      </c>
      <c r="H520" s="1" t="s">
        <v>50</v>
      </c>
      <c r="I520" s="1">
        <v>100000.0</v>
      </c>
      <c r="J520" s="1"/>
      <c r="K520" s="1"/>
      <c r="L520" s="1" t="s">
        <v>172</v>
      </c>
      <c r="M520" s="1" t="s">
        <v>2473</v>
      </c>
      <c r="N520" s="1" t="s">
        <v>283</v>
      </c>
      <c r="O520" s="1" t="s">
        <v>1133</v>
      </c>
      <c r="P520" s="2">
        <v>43808.4583333333</v>
      </c>
      <c r="Q520" s="1" t="s">
        <v>74</v>
      </c>
      <c r="R520" s="1"/>
      <c r="S520" s="1"/>
      <c r="T520" s="1">
        <v>3302403.0</v>
      </c>
      <c r="U520" s="1" t="s">
        <v>1371</v>
      </c>
      <c r="V520" s="1" t="s">
        <v>287</v>
      </c>
      <c r="W520" s="1" t="s">
        <v>288</v>
      </c>
      <c r="X520" s="1"/>
      <c r="Y520" s="1" t="str">
        <f>"02001035300201943"</f>
        <v>02001035300201943</v>
      </c>
      <c r="Z520" s="1" t="s">
        <v>128</v>
      </c>
      <c r="AA520" s="1" t="s">
        <v>1449</v>
      </c>
      <c r="AB520" s="1" t="str">
        <f>"33000167100750"</f>
        <v>33000167100750</v>
      </c>
      <c r="AC520" s="1"/>
      <c r="AD520" s="1"/>
      <c r="AE520" s="1"/>
      <c r="AF520" s="1">
        <v>-40.47028</v>
      </c>
      <c r="AG520" s="1">
        <v>-22.464724</v>
      </c>
      <c r="AH520" s="1" t="s">
        <v>1527</v>
      </c>
      <c r="AI520" s="1"/>
      <c r="AJ520" s="1" t="s">
        <v>172</v>
      </c>
      <c r="AK520" s="1"/>
      <c r="AL520" s="1" t="s">
        <v>79</v>
      </c>
      <c r="AM520" s="1" t="s">
        <v>65</v>
      </c>
      <c r="AN520" s="1" t="s">
        <v>720</v>
      </c>
      <c r="AO520" s="2">
        <v>44169.0</v>
      </c>
      <c r="AP520" s="2">
        <v>44169.333900463</v>
      </c>
      <c r="AQ520" s="1" t="s">
        <v>80</v>
      </c>
      <c r="AR520" s="1" t="s">
        <v>1485</v>
      </c>
      <c r="AS520" s="1" t="s">
        <v>1361</v>
      </c>
      <c r="AT520" s="2">
        <v>44269.931099537</v>
      </c>
    </row>
    <row r="521" ht="13.5" customHeight="1">
      <c r="A521" s="1"/>
      <c r="B521" s="1" t="s">
        <v>46</v>
      </c>
      <c r="C521" s="1" t="s">
        <v>47</v>
      </c>
      <c r="D521" s="1"/>
      <c r="E521" s="1" t="s">
        <v>2474</v>
      </c>
      <c r="F521" s="1"/>
      <c r="G521" s="1" t="s">
        <v>49</v>
      </c>
      <c r="H521" s="1" t="s">
        <v>93</v>
      </c>
      <c r="I521" s="1">
        <v>21334.5</v>
      </c>
      <c r="J521" s="1"/>
      <c r="K521" s="1"/>
      <c r="L521" s="1"/>
      <c r="M521" s="1" t="s">
        <v>2475</v>
      </c>
      <c r="N521" s="1" t="s">
        <v>142</v>
      </c>
      <c r="O521" s="1" t="s">
        <v>143</v>
      </c>
      <c r="P521" s="2">
        <v>43808.4430671296</v>
      </c>
      <c r="Q521" s="1" t="s">
        <v>373</v>
      </c>
      <c r="R521" s="1"/>
      <c r="S521" s="1"/>
      <c r="T521" s="1">
        <v>5106158.0</v>
      </c>
      <c r="U521" s="1" t="s">
        <v>1700</v>
      </c>
      <c r="V521" s="1" t="s">
        <v>164</v>
      </c>
      <c r="W521" s="1" t="s">
        <v>177</v>
      </c>
      <c r="X521" s="1"/>
      <c r="Y521" s="1"/>
      <c r="Z521" s="1" t="s">
        <v>147</v>
      </c>
      <c r="AA521" s="1" t="s">
        <v>2476</v>
      </c>
      <c r="AB521" s="1" t="str">
        <f>"***481471**"</f>
        <v>***481471**</v>
      </c>
      <c r="AC521" s="1"/>
      <c r="AD521" s="1" t="s">
        <v>149</v>
      </c>
      <c r="AE521" s="1"/>
      <c r="AF521" s="1">
        <v>-58.02</v>
      </c>
      <c r="AG521" s="1">
        <v>-9.74</v>
      </c>
      <c r="AH521" s="1" t="s">
        <v>2477</v>
      </c>
      <c r="AI521" s="1"/>
      <c r="AJ521" s="1" t="s">
        <v>172</v>
      </c>
      <c r="AK521" s="1"/>
      <c r="AL521" s="1"/>
      <c r="AM521" s="1" t="s">
        <v>65</v>
      </c>
      <c r="AN521" s="1" t="s">
        <v>1703</v>
      </c>
      <c r="AO521" s="1"/>
      <c r="AP521" s="2">
        <v>43809.3782986111</v>
      </c>
      <c r="AQ521" s="1"/>
      <c r="AR521" s="1" t="s">
        <v>280</v>
      </c>
      <c r="AS521" s="1"/>
      <c r="AT521" s="2">
        <v>44269.931099537</v>
      </c>
    </row>
    <row r="522" ht="13.5" customHeight="1">
      <c r="A522" s="1"/>
      <c r="B522" s="1" t="s">
        <v>46</v>
      </c>
      <c r="C522" s="1" t="s">
        <v>47</v>
      </c>
      <c r="D522" s="1"/>
      <c r="E522" s="1" t="s">
        <v>2478</v>
      </c>
      <c r="F522" s="1"/>
      <c r="G522" s="1" t="s">
        <v>49</v>
      </c>
      <c r="H522" s="1" t="s">
        <v>93</v>
      </c>
      <c r="I522" s="1">
        <v>505000.0</v>
      </c>
      <c r="J522" s="1"/>
      <c r="K522" s="1"/>
      <c r="L522" s="1"/>
      <c r="M522" s="1" t="s">
        <v>2479</v>
      </c>
      <c r="N522" s="1" t="s">
        <v>142</v>
      </c>
      <c r="O522" s="1" t="s">
        <v>143</v>
      </c>
      <c r="P522" s="2">
        <v>43808.4228935185</v>
      </c>
      <c r="Q522" s="1" t="s">
        <v>373</v>
      </c>
      <c r="R522" s="1"/>
      <c r="S522" s="1"/>
      <c r="T522" s="1">
        <v>1100080.0</v>
      </c>
      <c r="U522" s="1" t="s">
        <v>1392</v>
      </c>
      <c r="V522" s="1" t="s">
        <v>448</v>
      </c>
      <c r="W522" s="1" t="s">
        <v>177</v>
      </c>
      <c r="X522" s="1"/>
      <c r="Y522" s="1"/>
      <c r="Z522" s="1" t="s">
        <v>147</v>
      </c>
      <c r="AA522" s="1" t="s">
        <v>2480</v>
      </c>
      <c r="AB522" s="1" t="str">
        <f>"***617732**"</f>
        <v>***617732**</v>
      </c>
      <c r="AC522" s="1"/>
      <c r="AD522" s="1" t="s">
        <v>116</v>
      </c>
      <c r="AE522" s="1"/>
      <c r="AF522" s="1">
        <v>-64.057503</v>
      </c>
      <c r="AG522" s="1">
        <v>-12.355278</v>
      </c>
      <c r="AH522" s="1" t="s">
        <v>2481</v>
      </c>
      <c r="AI522" s="1"/>
      <c r="AJ522" s="1" t="s">
        <v>172</v>
      </c>
      <c r="AK522" s="1"/>
      <c r="AL522" s="1"/>
      <c r="AM522" s="1" t="s">
        <v>65</v>
      </c>
      <c r="AN522" s="1" t="s">
        <v>1395</v>
      </c>
      <c r="AO522" s="1"/>
      <c r="AP522" s="2">
        <v>44057.5953356482</v>
      </c>
      <c r="AQ522" s="1"/>
      <c r="AR522" s="1" t="s">
        <v>644</v>
      </c>
      <c r="AS522" s="1"/>
      <c r="AT522" s="2">
        <v>44269.931099537</v>
      </c>
    </row>
    <row r="523" ht="13.5" customHeight="1">
      <c r="A523" s="1">
        <v>2035492.0</v>
      </c>
      <c r="B523" s="1" t="s">
        <v>67</v>
      </c>
      <c r="C523" s="1" t="s">
        <v>68</v>
      </c>
      <c r="D523" s="1" t="s">
        <v>46</v>
      </c>
      <c r="E523" s="1" t="s">
        <v>2482</v>
      </c>
      <c r="F523" s="1"/>
      <c r="G523" s="1" t="s">
        <v>70</v>
      </c>
      <c r="H523" s="1" t="s">
        <v>93</v>
      </c>
      <c r="I523" s="1">
        <v>5000.0</v>
      </c>
      <c r="J523" s="1"/>
      <c r="K523" s="1"/>
      <c r="L523" s="1" t="s">
        <v>106</v>
      </c>
      <c r="M523" s="1" t="s">
        <v>2483</v>
      </c>
      <c r="N523" s="1" t="s">
        <v>142</v>
      </c>
      <c r="O523" s="1"/>
      <c r="P523" s="2">
        <v>43808.4194444444</v>
      </c>
      <c r="Q523" s="1" t="s">
        <v>2484</v>
      </c>
      <c r="R523" s="1"/>
      <c r="S523" s="1"/>
      <c r="T523" s="1">
        <v>2313609.0</v>
      </c>
      <c r="U523" s="1" t="s">
        <v>2485</v>
      </c>
      <c r="V523" s="1" t="s">
        <v>112</v>
      </c>
      <c r="W523" s="1" t="s">
        <v>113</v>
      </c>
      <c r="X523" s="1"/>
      <c r="Y523" s="1" t="str">
        <f>"02007000094202034"</f>
        <v>02007000094202034</v>
      </c>
      <c r="Z523" s="1" t="s">
        <v>2486</v>
      </c>
      <c r="AA523" s="1" t="s">
        <v>2487</v>
      </c>
      <c r="AB523" s="1" t="str">
        <f>"***581517**"</f>
        <v>***581517**</v>
      </c>
      <c r="AC523" s="1"/>
      <c r="AD523" s="1" t="s">
        <v>116</v>
      </c>
      <c r="AE523" s="1"/>
      <c r="AF523" s="1">
        <v>0.0</v>
      </c>
      <c r="AG523" s="1">
        <v>0.0</v>
      </c>
      <c r="AH523" s="1" t="s">
        <v>2488</v>
      </c>
      <c r="AI523" s="1"/>
      <c r="AJ523" s="1"/>
      <c r="AK523" s="1"/>
      <c r="AL523" s="1" t="s">
        <v>118</v>
      </c>
      <c r="AM523" s="1"/>
      <c r="AN523" s="1"/>
      <c r="AO523" s="2">
        <v>43906.6879050926</v>
      </c>
      <c r="AP523" s="2">
        <v>43906.6879166667</v>
      </c>
      <c r="AQ523" s="1" t="s">
        <v>80</v>
      </c>
      <c r="AR523" s="1" t="s">
        <v>2489</v>
      </c>
      <c r="AS523" s="1"/>
      <c r="AT523" s="2">
        <v>44269.931099537</v>
      </c>
    </row>
    <row r="524" ht="13.5" customHeight="1">
      <c r="A524" s="1">
        <v>2037880.0</v>
      </c>
      <c r="B524" s="1" t="s">
        <v>67</v>
      </c>
      <c r="C524" s="1" t="s">
        <v>89</v>
      </c>
      <c r="D524" s="1" t="s">
        <v>67</v>
      </c>
      <c r="E524" s="1" t="s">
        <v>2490</v>
      </c>
      <c r="F524" s="1"/>
      <c r="G524" s="1" t="s">
        <v>70</v>
      </c>
      <c r="H524" s="1" t="s">
        <v>50</v>
      </c>
      <c r="I524" s="1">
        <v>100000.0</v>
      </c>
      <c r="J524" s="1"/>
      <c r="K524" s="1"/>
      <c r="L524" s="1" t="s">
        <v>172</v>
      </c>
      <c r="M524" s="1" t="s">
        <v>220</v>
      </c>
      <c r="N524" s="1" t="s">
        <v>283</v>
      </c>
      <c r="O524" s="1" t="s">
        <v>1133</v>
      </c>
      <c r="P524" s="2">
        <v>43808.4166666667</v>
      </c>
      <c r="Q524" s="1" t="s">
        <v>74</v>
      </c>
      <c r="R524" s="3">
        <v>43807.0</v>
      </c>
      <c r="S524" s="1"/>
      <c r="T524" s="1">
        <v>3204302.0</v>
      </c>
      <c r="U524" s="1" t="s">
        <v>1380</v>
      </c>
      <c r="V524" s="1" t="s">
        <v>403</v>
      </c>
      <c r="W524" s="1" t="s">
        <v>288</v>
      </c>
      <c r="X524" s="1"/>
      <c r="Y524" s="1" t="str">
        <f>"02001035297201968"</f>
        <v>02001035297201968</v>
      </c>
      <c r="Z524" s="1" t="s">
        <v>128</v>
      </c>
      <c r="AA524" s="1" t="s">
        <v>1537</v>
      </c>
      <c r="AB524" s="1" t="str">
        <f>"33000167000454"</f>
        <v>33000167000454</v>
      </c>
      <c r="AC524" s="1"/>
      <c r="AD524" s="1"/>
      <c r="AE524" s="1"/>
      <c r="AF524" s="1">
        <v>-39.971111</v>
      </c>
      <c r="AG524" s="1">
        <v>-21.301943</v>
      </c>
      <c r="AH524" s="1" t="s">
        <v>2491</v>
      </c>
      <c r="AI524" s="1"/>
      <c r="AJ524" s="1" t="s">
        <v>172</v>
      </c>
      <c r="AK524" s="1"/>
      <c r="AL524" s="1" t="s">
        <v>79</v>
      </c>
      <c r="AM524" s="1"/>
      <c r="AN524" s="1" t="s">
        <v>720</v>
      </c>
      <c r="AO524" s="2">
        <v>44013.0</v>
      </c>
      <c r="AP524" s="2">
        <v>44013.7045949074</v>
      </c>
      <c r="AQ524" s="1" t="s">
        <v>89</v>
      </c>
      <c r="AR524" s="1" t="s">
        <v>1485</v>
      </c>
      <c r="AS524" s="1" t="s">
        <v>1361</v>
      </c>
      <c r="AT524" s="2">
        <v>44269.931099537</v>
      </c>
    </row>
    <row r="525" ht="13.5" customHeight="1">
      <c r="A525" s="1">
        <v>2036231.0</v>
      </c>
      <c r="B525" s="1" t="s">
        <v>67</v>
      </c>
      <c r="C525" s="1" t="s">
        <v>68</v>
      </c>
      <c r="D525" s="1" t="s">
        <v>46</v>
      </c>
      <c r="E525" s="1" t="s">
        <v>2492</v>
      </c>
      <c r="F525" s="1"/>
      <c r="G525" s="1" t="s">
        <v>70</v>
      </c>
      <c r="H525" s="1" t="s">
        <v>50</v>
      </c>
      <c r="I525" s="1">
        <v>1300.0</v>
      </c>
      <c r="J525" s="1"/>
      <c r="K525" s="1"/>
      <c r="L525" s="1" t="s">
        <v>101</v>
      </c>
      <c r="M525" s="1" t="s">
        <v>2493</v>
      </c>
      <c r="N525" s="1" t="s">
        <v>108</v>
      </c>
      <c r="O525" s="1" t="s">
        <v>109</v>
      </c>
      <c r="P525" s="2">
        <v>43808.375</v>
      </c>
      <c r="Q525" s="1" t="s">
        <v>74</v>
      </c>
      <c r="R525" s="3">
        <v>43817.0</v>
      </c>
      <c r="S525" s="1"/>
      <c r="T525" s="1">
        <v>3509502.0</v>
      </c>
      <c r="U525" s="1" t="s">
        <v>97</v>
      </c>
      <c r="V525" s="1" t="s">
        <v>58</v>
      </c>
      <c r="W525" s="1" t="s">
        <v>59</v>
      </c>
      <c r="X525" s="1"/>
      <c r="Y525" s="1" t="str">
        <f>"02285000195202026"</f>
        <v>02285000195202026</v>
      </c>
      <c r="Z525" s="1" t="s">
        <v>226</v>
      </c>
      <c r="AA525" s="1" t="s">
        <v>2494</v>
      </c>
      <c r="AB525" s="1" t="str">
        <f>"00536772003753"</f>
        <v>00536772003753</v>
      </c>
      <c r="AC525" s="1"/>
      <c r="AD525" s="1"/>
      <c r="AE525" s="1"/>
      <c r="AF525" s="1">
        <v>-47.144169</v>
      </c>
      <c r="AG525" s="1">
        <v>-23.007778</v>
      </c>
      <c r="AH525" s="1" t="s">
        <v>2463</v>
      </c>
      <c r="AI525" s="1"/>
      <c r="AJ525" s="1" t="s">
        <v>101</v>
      </c>
      <c r="AK525" s="1"/>
      <c r="AL525" s="1" t="s">
        <v>79</v>
      </c>
      <c r="AM525" s="1" t="s">
        <v>65</v>
      </c>
      <c r="AN525" s="1" t="s">
        <v>102</v>
      </c>
      <c r="AO525" s="2">
        <v>43941.0</v>
      </c>
      <c r="AP525" s="2">
        <v>43941.6307523148</v>
      </c>
      <c r="AQ525" s="1" t="s">
        <v>80</v>
      </c>
      <c r="AR525" s="1" t="s">
        <v>1136</v>
      </c>
      <c r="AS525" s="1"/>
      <c r="AT525" s="2">
        <v>44269.931099537</v>
      </c>
    </row>
    <row r="526" ht="13.5" customHeight="1">
      <c r="A526" s="1"/>
      <c r="B526" s="1" t="s">
        <v>46</v>
      </c>
      <c r="C526" s="1" t="s">
        <v>47</v>
      </c>
      <c r="D526" s="1"/>
      <c r="E526" s="1" t="s">
        <v>2495</v>
      </c>
      <c r="F526" s="1"/>
      <c r="G526" s="1" t="s">
        <v>49</v>
      </c>
      <c r="H526" s="1" t="s">
        <v>93</v>
      </c>
      <c r="I526" s="1">
        <v>1005000.0</v>
      </c>
      <c r="J526" s="1"/>
      <c r="K526" s="1"/>
      <c r="L526" s="1"/>
      <c r="M526" s="1" t="s">
        <v>2496</v>
      </c>
      <c r="N526" s="1" t="s">
        <v>142</v>
      </c>
      <c r="O526" s="1" t="s">
        <v>143</v>
      </c>
      <c r="P526" s="2">
        <v>43808.3178356481</v>
      </c>
      <c r="Q526" s="1" t="s">
        <v>74</v>
      </c>
      <c r="R526" s="3">
        <v>43808.0</v>
      </c>
      <c r="S526" s="1"/>
      <c r="T526" s="1">
        <v>1100080.0</v>
      </c>
      <c r="U526" s="1" t="s">
        <v>1392</v>
      </c>
      <c r="V526" s="1" t="s">
        <v>448</v>
      </c>
      <c r="W526" s="1" t="s">
        <v>177</v>
      </c>
      <c r="X526" s="1"/>
      <c r="Y526" s="1"/>
      <c r="Z526" s="1" t="s">
        <v>147</v>
      </c>
      <c r="AA526" s="1" t="s">
        <v>2497</v>
      </c>
      <c r="AB526" s="1" t="str">
        <f>"***498762**"</f>
        <v>***498762**</v>
      </c>
      <c r="AC526" s="1"/>
      <c r="AD526" s="1" t="s">
        <v>116</v>
      </c>
      <c r="AE526" s="1"/>
      <c r="AF526" s="1">
        <v>-64.051117</v>
      </c>
      <c r="AG526" s="1">
        <v>-12.373889</v>
      </c>
      <c r="AH526" s="1" t="s">
        <v>2498</v>
      </c>
      <c r="AI526" s="1"/>
      <c r="AJ526" s="1" t="s">
        <v>172</v>
      </c>
      <c r="AK526" s="1"/>
      <c r="AL526" s="1"/>
      <c r="AM526" s="1" t="s">
        <v>65</v>
      </c>
      <c r="AN526" s="1" t="s">
        <v>1395</v>
      </c>
      <c r="AO526" s="1"/>
      <c r="AP526" s="2">
        <v>44057.595462963</v>
      </c>
      <c r="AQ526" s="1"/>
      <c r="AR526" s="1" t="s">
        <v>644</v>
      </c>
      <c r="AS526" s="1"/>
      <c r="AT526" s="2">
        <v>44269.931099537</v>
      </c>
    </row>
    <row r="527" ht="13.5" customHeight="1">
      <c r="A527" s="1"/>
      <c r="B527" s="1" t="s">
        <v>46</v>
      </c>
      <c r="C527" s="1" t="s">
        <v>47</v>
      </c>
      <c r="D527" s="1"/>
      <c r="E527" s="1" t="s">
        <v>2499</v>
      </c>
      <c r="F527" s="1"/>
      <c r="G527" s="1" t="s">
        <v>49</v>
      </c>
      <c r="H527" s="1" t="s">
        <v>93</v>
      </c>
      <c r="I527" s="1">
        <v>1445000.0</v>
      </c>
      <c r="J527" s="1"/>
      <c r="K527" s="1"/>
      <c r="L527" s="1"/>
      <c r="M527" s="1" t="s">
        <v>2500</v>
      </c>
      <c r="N527" s="1" t="s">
        <v>142</v>
      </c>
      <c r="O527" s="1" t="s">
        <v>143</v>
      </c>
      <c r="P527" s="2">
        <v>43807.6545833333</v>
      </c>
      <c r="Q527" s="1" t="s">
        <v>373</v>
      </c>
      <c r="R527" s="1"/>
      <c r="S527" s="1"/>
      <c r="T527" s="1">
        <v>1100320.0</v>
      </c>
      <c r="U527" s="1" t="s">
        <v>1851</v>
      </c>
      <c r="V527" s="1" t="s">
        <v>448</v>
      </c>
      <c r="W527" s="1" t="s">
        <v>59</v>
      </c>
      <c r="X527" s="1"/>
      <c r="Y527" s="1"/>
      <c r="Z527" s="1" t="s">
        <v>147</v>
      </c>
      <c r="AA527" s="1" t="s">
        <v>2501</v>
      </c>
      <c r="AB527" s="1" t="str">
        <f>"***897147**"</f>
        <v>***897147**</v>
      </c>
      <c r="AC527" s="1"/>
      <c r="AD527" s="1" t="s">
        <v>116</v>
      </c>
      <c r="AE527" s="1"/>
      <c r="AF527" s="1">
        <v>-62.608612</v>
      </c>
      <c r="AG527" s="1">
        <v>-11.601666</v>
      </c>
      <c r="AH527" s="1" t="s">
        <v>2502</v>
      </c>
      <c r="AI527" s="1"/>
      <c r="AJ527" s="1" t="s">
        <v>172</v>
      </c>
      <c r="AK527" s="1"/>
      <c r="AL527" s="1"/>
      <c r="AM527" s="1" t="s">
        <v>65</v>
      </c>
      <c r="AN527" s="1" t="s">
        <v>1395</v>
      </c>
      <c r="AO527" s="1"/>
      <c r="AP527" s="2">
        <v>43807.6622222222</v>
      </c>
      <c r="AQ527" s="1"/>
      <c r="AR527" s="1" t="s">
        <v>871</v>
      </c>
      <c r="AS527" s="1"/>
      <c r="AT527" s="2">
        <v>44269.931099537</v>
      </c>
    </row>
    <row r="528" ht="13.5" customHeight="1">
      <c r="A528" s="1"/>
      <c r="B528" s="1" t="s">
        <v>46</v>
      </c>
      <c r="C528" s="1" t="s">
        <v>47</v>
      </c>
      <c r="D528" s="1"/>
      <c r="E528" s="1" t="s">
        <v>2503</v>
      </c>
      <c r="F528" s="1"/>
      <c r="G528" s="1" t="s">
        <v>49</v>
      </c>
      <c r="H528" s="1" t="s">
        <v>93</v>
      </c>
      <c r="I528" s="1">
        <v>2980000.0</v>
      </c>
      <c r="J528" s="1"/>
      <c r="K528" s="1"/>
      <c r="L528" s="1"/>
      <c r="M528" s="1" t="s">
        <v>2504</v>
      </c>
      <c r="N528" s="1" t="s">
        <v>142</v>
      </c>
      <c r="O528" s="1" t="s">
        <v>143</v>
      </c>
      <c r="P528" s="2">
        <v>43807.5435763889</v>
      </c>
      <c r="Q528" s="1" t="s">
        <v>373</v>
      </c>
      <c r="R528" s="1"/>
      <c r="S528" s="1"/>
      <c r="T528" s="1">
        <v>5106158.0</v>
      </c>
      <c r="U528" s="1" t="s">
        <v>1700</v>
      </c>
      <c r="V528" s="1" t="s">
        <v>164</v>
      </c>
      <c r="W528" s="1" t="s">
        <v>177</v>
      </c>
      <c r="X528" s="1"/>
      <c r="Y528" s="1"/>
      <c r="Z528" s="1" t="s">
        <v>147</v>
      </c>
      <c r="AA528" s="1" t="s">
        <v>2505</v>
      </c>
      <c r="AB528" s="1" t="str">
        <f>"***256696**"</f>
        <v>***256696**</v>
      </c>
      <c r="AC528" s="1"/>
      <c r="AD528" s="1" t="s">
        <v>116</v>
      </c>
      <c r="AE528" s="1"/>
      <c r="AF528" s="1">
        <v>-58.085003</v>
      </c>
      <c r="AG528" s="1">
        <v>-9.698611</v>
      </c>
      <c r="AH528" s="1" t="s">
        <v>2506</v>
      </c>
      <c r="AI528" s="1"/>
      <c r="AJ528" s="1" t="s">
        <v>172</v>
      </c>
      <c r="AK528" s="1"/>
      <c r="AL528" s="1"/>
      <c r="AM528" s="1" t="s">
        <v>65</v>
      </c>
      <c r="AN528" s="1" t="s">
        <v>1703</v>
      </c>
      <c r="AO528" s="1"/>
      <c r="AP528" s="2">
        <v>43807.5567476852</v>
      </c>
      <c r="AQ528" s="1"/>
      <c r="AR528" s="1" t="s">
        <v>2209</v>
      </c>
      <c r="AS528" s="1" t="s">
        <v>2210</v>
      </c>
      <c r="AT528" s="2">
        <v>44269.931099537</v>
      </c>
    </row>
    <row r="529" ht="13.5" customHeight="1">
      <c r="A529" s="1"/>
      <c r="B529" s="1" t="s">
        <v>46</v>
      </c>
      <c r="C529" s="1" t="s">
        <v>47</v>
      </c>
      <c r="D529" s="1"/>
      <c r="E529" s="1" t="s">
        <v>2507</v>
      </c>
      <c r="F529" s="1"/>
      <c r="G529" s="1" t="s">
        <v>49</v>
      </c>
      <c r="H529" s="1" t="s">
        <v>93</v>
      </c>
      <c r="I529" s="1">
        <v>950000.0</v>
      </c>
      <c r="J529" s="1"/>
      <c r="K529" s="1"/>
      <c r="L529" s="1"/>
      <c r="M529" s="1" t="s">
        <v>2508</v>
      </c>
      <c r="N529" s="1" t="s">
        <v>142</v>
      </c>
      <c r="O529" s="1" t="s">
        <v>143</v>
      </c>
      <c r="P529" s="2">
        <v>43806.8864930556</v>
      </c>
      <c r="Q529" s="1" t="s">
        <v>373</v>
      </c>
      <c r="R529" s="1"/>
      <c r="S529" s="1"/>
      <c r="T529" s="1">
        <v>5106158.0</v>
      </c>
      <c r="U529" s="1" t="s">
        <v>1700</v>
      </c>
      <c r="V529" s="1" t="s">
        <v>164</v>
      </c>
      <c r="W529" s="1" t="s">
        <v>177</v>
      </c>
      <c r="X529" s="1"/>
      <c r="Y529" s="1"/>
      <c r="Z529" s="1" t="s">
        <v>147</v>
      </c>
      <c r="AA529" s="1" t="s">
        <v>2509</v>
      </c>
      <c r="AB529" s="1" t="str">
        <f>"***298661**"</f>
        <v>***298661**</v>
      </c>
      <c r="AC529" s="1"/>
      <c r="AD529" s="1" t="s">
        <v>116</v>
      </c>
      <c r="AE529" s="1"/>
      <c r="AF529" s="1">
        <v>-57.924168</v>
      </c>
      <c r="AG529" s="1">
        <v>-9.60889</v>
      </c>
      <c r="AH529" s="1" t="s">
        <v>2510</v>
      </c>
      <c r="AI529" s="1"/>
      <c r="AJ529" s="1" t="s">
        <v>172</v>
      </c>
      <c r="AK529" s="1"/>
      <c r="AL529" s="1"/>
      <c r="AM529" s="1" t="s">
        <v>65</v>
      </c>
      <c r="AN529" s="1" t="s">
        <v>1703</v>
      </c>
      <c r="AO529" s="1"/>
      <c r="AP529" s="2">
        <v>43806.9022685185</v>
      </c>
      <c r="AQ529" s="1"/>
      <c r="AR529" s="1" t="s">
        <v>2209</v>
      </c>
      <c r="AS529" s="1" t="s">
        <v>2210</v>
      </c>
      <c r="AT529" s="2">
        <v>44269.931099537</v>
      </c>
    </row>
    <row r="530" ht="13.5" customHeight="1">
      <c r="A530" s="1"/>
      <c r="B530" s="1" t="s">
        <v>46</v>
      </c>
      <c r="C530" s="1" t="s">
        <v>47</v>
      </c>
      <c r="D530" s="1"/>
      <c r="E530" s="1" t="s">
        <v>2511</v>
      </c>
      <c r="F530" s="1"/>
      <c r="G530" s="1" t="s">
        <v>49</v>
      </c>
      <c r="H530" s="1" t="s">
        <v>93</v>
      </c>
      <c r="I530" s="1">
        <v>40000.0</v>
      </c>
      <c r="J530" s="1"/>
      <c r="K530" s="1"/>
      <c r="L530" s="1"/>
      <c r="M530" s="1" t="s">
        <v>2512</v>
      </c>
      <c r="N530" s="1" t="s">
        <v>142</v>
      </c>
      <c r="O530" s="1" t="s">
        <v>143</v>
      </c>
      <c r="P530" s="2">
        <v>43806.8204050926</v>
      </c>
      <c r="Q530" s="1" t="s">
        <v>373</v>
      </c>
      <c r="R530" s="1"/>
      <c r="S530" s="1"/>
      <c r="T530" s="1">
        <v>5106158.0</v>
      </c>
      <c r="U530" s="1" t="s">
        <v>1700</v>
      </c>
      <c r="V530" s="1" t="s">
        <v>164</v>
      </c>
      <c r="W530" s="1" t="s">
        <v>177</v>
      </c>
      <c r="X530" s="1"/>
      <c r="Y530" s="1"/>
      <c r="Z530" s="1" t="s">
        <v>147</v>
      </c>
      <c r="AA530" s="1" t="s">
        <v>2513</v>
      </c>
      <c r="AB530" s="1" t="str">
        <f>"***719691**"</f>
        <v>***719691**</v>
      </c>
      <c r="AC530" s="1"/>
      <c r="AD530" s="1" t="s">
        <v>116</v>
      </c>
      <c r="AE530" s="1"/>
      <c r="AF530" s="1">
        <v>-58.278336</v>
      </c>
      <c r="AG530" s="1">
        <v>-10.448611</v>
      </c>
      <c r="AH530" s="1" t="s">
        <v>2514</v>
      </c>
      <c r="AI530" s="1"/>
      <c r="AJ530" s="1" t="s">
        <v>172</v>
      </c>
      <c r="AK530" s="1"/>
      <c r="AL530" s="1"/>
      <c r="AM530" s="1" t="s">
        <v>65</v>
      </c>
      <c r="AN530" s="1" t="s">
        <v>1703</v>
      </c>
      <c r="AO530" s="1"/>
      <c r="AP530" s="2">
        <v>43806.8473263889</v>
      </c>
      <c r="AQ530" s="1"/>
      <c r="AR530" s="1" t="s">
        <v>2209</v>
      </c>
      <c r="AS530" s="1" t="s">
        <v>2515</v>
      </c>
      <c r="AT530" s="2">
        <v>44269.931099537</v>
      </c>
    </row>
    <row r="531" ht="13.5" customHeight="1">
      <c r="A531" s="1">
        <v>2039118.0</v>
      </c>
      <c r="B531" s="1" t="s">
        <v>67</v>
      </c>
      <c r="C531" s="1" t="s">
        <v>68</v>
      </c>
      <c r="D531" s="1" t="s">
        <v>46</v>
      </c>
      <c r="E531" s="1" t="s">
        <v>2516</v>
      </c>
      <c r="F531" s="1"/>
      <c r="G531" s="1" t="s">
        <v>70</v>
      </c>
      <c r="H531" s="1" t="s">
        <v>93</v>
      </c>
      <c r="I531" s="1">
        <v>538300.0</v>
      </c>
      <c r="J531" s="1"/>
      <c r="K531" s="1"/>
      <c r="L531" s="1" t="s">
        <v>172</v>
      </c>
      <c r="M531" s="1" t="s">
        <v>2517</v>
      </c>
      <c r="N531" s="1" t="s">
        <v>142</v>
      </c>
      <c r="O531" s="1" t="s">
        <v>143</v>
      </c>
      <c r="P531" s="2">
        <v>43806.6666666667</v>
      </c>
      <c r="Q531" s="1" t="s">
        <v>373</v>
      </c>
      <c r="R531" s="3">
        <v>43806.0</v>
      </c>
      <c r="S531" s="1"/>
      <c r="T531" s="1">
        <v>5106158.0</v>
      </c>
      <c r="U531" s="1" t="s">
        <v>1700</v>
      </c>
      <c r="V531" s="1" t="s">
        <v>164</v>
      </c>
      <c r="W531" s="1" t="s">
        <v>177</v>
      </c>
      <c r="X531" s="1"/>
      <c r="Y531" s="1" t="str">
        <f>"02001000629202027"</f>
        <v>02001000629202027</v>
      </c>
      <c r="Z531" s="1" t="s">
        <v>147</v>
      </c>
      <c r="AA531" s="1" t="s">
        <v>2518</v>
      </c>
      <c r="AB531" s="1" t="str">
        <f>"***412421**"</f>
        <v>***412421**</v>
      </c>
      <c r="AC531" s="1"/>
      <c r="AD531" s="1"/>
      <c r="AE531" s="1"/>
      <c r="AF531" s="1">
        <v>-57.764721</v>
      </c>
      <c r="AG531" s="1">
        <v>-10.057222</v>
      </c>
      <c r="AH531" s="1" t="s">
        <v>1702</v>
      </c>
      <c r="AI531" s="1"/>
      <c r="AJ531" s="1" t="s">
        <v>172</v>
      </c>
      <c r="AK531" s="1"/>
      <c r="AL531" s="1" t="s">
        <v>79</v>
      </c>
      <c r="AM531" s="1" t="s">
        <v>65</v>
      </c>
      <c r="AN531" s="1" t="s">
        <v>1703</v>
      </c>
      <c r="AO531" s="2">
        <v>44054.0</v>
      </c>
      <c r="AP531" s="2">
        <v>44054.8178356482</v>
      </c>
      <c r="AQ531" s="1" t="s">
        <v>80</v>
      </c>
      <c r="AR531" s="1" t="s">
        <v>421</v>
      </c>
      <c r="AS531" s="1"/>
      <c r="AT531" s="2">
        <v>44269.931099537</v>
      </c>
    </row>
    <row r="532" ht="13.5" customHeight="1">
      <c r="A532" s="1">
        <v>2035020.0</v>
      </c>
      <c r="B532" s="1" t="s">
        <v>67</v>
      </c>
      <c r="C532" s="1" t="s">
        <v>68</v>
      </c>
      <c r="D532" s="1" t="s">
        <v>46</v>
      </c>
      <c r="E532" s="1" t="s">
        <v>2519</v>
      </c>
      <c r="F532" s="1"/>
      <c r="G532" s="1" t="s">
        <v>70</v>
      </c>
      <c r="H532" s="1" t="s">
        <v>93</v>
      </c>
      <c r="I532" s="1">
        <v>2500.0</v>
      </c>
      <c r="J532" s="1"/>
      <c r="K532" s="1"/>
      <c r="L532" s="1" t="s">
        <v>106</v>
      </c>
      <c r="M532" s="1" t="s">
        <v>2520</v>
      </c>
      <c r="N532" s="1" t="s">
        <v>95</v>
      </c>
      <c r="O532" s="1" t="s">
        <v>96</v>
      </c>
      <c r="P532" s="2">
        <v>43806.6451388889</v>
      </c>
      <c r="Q532" s="1" t="s">
        <v>373</v>
      </c>
      <c r="R532" s="1"/>
      <c r="S532" s="1"/>
      <c r="T532" s="1">
        <v>2313609.0</v>
      </c>
      <c r="U532" s="1" t="s">
        <v>2485</v>
      </c>
      <c r="V532" s="1" t="s">
        <v>112</v>
      </c>
      <c r="W532" s="1" t="s">
        <v>113</v>
      </c>
      <c r="X532" s="1"/>
      <c r="Y532" s="1" t="str">
        <f>"02007004105201911"</f>
        <v>02007004105201911</v>
      </c>
      <c r="Z532" s="1" t="s">
        <v>1267</v>
      </c>
      <c r="AA532" s="1" t="s">
        <v>2521</v>
      </c>
      <c r="AB532" s="1" t="str">
        <f>"***733153**"</f>
        <v>***733153**</v>
      </c>
      <c r="AC532" s="1"/>
      <c r="AD532" s="1" t="s">
        <v>116</v>
      </c>
      <c r="AE532" s="1"/>
      <c r="AF532" s="1">
        <v>0.0</v>
      </c>
      <c r="AG532" s="1">
        <v>0.0</v>
      </c>
      <c r="AH532" s="1" t="s">
        <v>1269</v>
      </c>
      <c r="AI532" s="1"/>
      <c r="AJ532" s="1"/>
      <c r="AK532" s="1"/>
      <c r="AL532" s="1" t="s">
        <v>118</v>
      </c>
      <c r="AM532" s="1"/>
      <c r="AN532" s="1"/>
      <c r="AO532" s="2">
        <v>43893.7260648148</v>
      </c>
      <c r="AP532" s="2">
        <v>43893.7260648148</v>
      </c>
      <c r="AQ532" s="1" t="s">
        <v>80</v>
      </c>
      <c r="AR532" s="1" t="s">
        <v>1270</v>
      </c>
      <c r="AS532" s="1"/>
      <c r="AT532" s="2">
        <v>44269.931099537</v>
      </c>
    </row>
    <row r="533" ht="13.5" customHeight="1">
      <c r="A533" s="1"/>
      <c r="B533" s="1" t="s">
        <v>46</v>
      </c>
      <c r="C533" s="1" t="s">
        <v>47</v>
      </c>
      <c r="D533" s="1"/>
      <c r="E533" s="1" t="s">
        <v>2522</v>
      </c>
      <c r="F533" s="1"/>
      <c r="G533" s="1" t="s">
        <v>49</v>
      </c>
      <c r="H533" s="1" t="s">
        <v>93</v>
      </c>
      <c r="I533" s="1">
        <v>41509.5</v>
      </c>
      <c r="J533" s="1"/>
      <c r="K533" s="1"/>
      <c r="L533" s="1"/>
      <c r="M533" s="1" t="s">
        <v>2523</v>
      </c>
      <c r="N533" s="1" t="s">
        <v>142</v>
      </c>
      <c r="O533" s="1" t="s">
        <v>143</v>
      </c>
      <c r="P533" s="2">
        <v>43806.6433449074</v>
      </c>
      <c r="Q533" s="1" t="s">
        <v>373</v>
      </c>
      <c r="R533" s="1"/>
      <c r="S533" s="1"/>
      <c r="T533" s="1">
        <v>5106158.0</v>
      </c>
      <c r="U533" s="1" t="s">
        <v>1700</v>
      </c>
      <c r="V533" s="1" t="s">
        <v>164</v>
      </c>
      <c r="W533" s="1" t="s">
        <v>177</v>
      </c>
      <c r="X533" s="1"/>
      <c r="Y533" s="1"/>
      <c r="Z533" s="1" t="s">
        <v>147</v>
      </c>
      <c r="AA533" s="1" t="s">
        <v>2476</v>
      </c>
      <c r="AB533" s="1" t="str">
        <f>"***481471**"</f>
        <v>***481471**</v>
      </c>
      <c r="AC533" s="1"/>
      <c r="AD533" s="1" t="s">
        <v>116</v>
      </c>
      <c r="AE533" s="1"/>
      <c r="AF533" s="1">
        <v>-58.02</v>
      </c>
      <c r="AG533" s="1">
        <v>-9.74</v>
      </c>
      <c r="AH533" s="1" t="s">
        <v>2524</v>
      </c>
      <c r="AI533" s="1"/>
      <c r="AJ533" s="1" t="s">
        <v>172</v>
      </c>
      <c r="AK533" s="1"/>
      <c r="AL533" s="1"/>
      <c r="AM533" s="1" t="s">
        <v>65</v>
      </c>
      <c r="AN533" s="1" t="s">
        <v>1703</v>
      </c>
      <c r="AO533" s="1"/>
      <c r="AP533" s="2">
        <v>43806.6793634259</v>
      </c>
      <c r="AQ533" s="1"/>
      <c r="AR533" s="1" t="s">
        <v>2525</v>
      </c>
      <c r="AS533" s="1" t="s">
        <v>2526</v>
      </c>
      <c r="AT533" s="2">
        <v>44269.931099537</v>
      </c>
    </row>
    <row r="534" ht="13.5" customHeight="1">
      <c r="A534" s="1"/>
      <c r="B534" s="1" t="s">
        <v>46</v>
      </c>
      <c r="C534" s="1" t="s">
        <v>47</v>
      </c>
      <c r="D534" s="1"/>
      <c r="E534" s="1" t="s">
        <v>2527</v>
      </c>
      <c r="F534" s="1"/>
      <c r="G534" s="1" t="s">
        <v>49</v>
      </c>
      <c r="H534" s="1" t="s">
        <v>93</v>
      </c>
      <c r="I534" s="1">
        <v>240000.0</v>
      </c>
      <c r="J534" s="1"/>
      <c r="K534" s="1"/>
      <c r="L534" s="1"/>
      <c r="M534" s="1" t="s">
        <v>2528</v>
      </c>
      <c r="N534" s="1" t="s">
        <v>142</v>
      </c>
      <c r="O534" s="1" t="s">
        <v>143</v>
      </c>
      <c r="P534" s="2">
        <v>43806.5847685185</v>
      </c>
      <c r="Q534" s="1" t="s">
        <v>373</v>
      </c>
      <c r="R534" s="1"/>
      <c r="S534" s="1"/>
      <c r="T534" s="1">
        <v>1100346.0</v>
      </c>
      <c r="U534" s="1" t="s">
        <v>2529</v>
      </c>
      <c r="V534" s="1" t="s">
        <v>448</v>
      </c>
      <c r="W534" s="1" t="s">
        <v>177</v>
      </c>
      <c r="X534" s="1"/>
      <c r="Y534" s="1"/>
      <c r="Z534" s="1" t="s">
        <v>147</v>
      </c>
      <c r="AA534" s="1" t="s">
        <v>2530</v>
      </c>
      <c r="AB534" s="1" t="str">
        <f>"***854252**"</f>
        <v>***854252**</v>
      </c>
      <c r="AC534" s="1"/>
      <c r="AD534" s="1" t="s">
        <v>116</v>
      </c>
      <c r="AE534" s="1"/>
      <c r="AF534" s="1">
        <v>-62.626389</v>
      </c>
      <c r="AG534" s="1">
        <v>-11.603333</v>
      </c>
      <c r="AH534" s="1" t="s">
        <v>2531</v>
      </c>
      <c r="AI534" s="1"/>
      <c r="AJ534" s="1" t="s">
        <v>172</v>
      </c>
      <c r="AK534" s="1"/>
      <c r="AL534" s="1"/>
      <c r="AM534" s="1" t="s">
        <v>65</v>
      </c>
      <c r="AN534" s="1" t="s">
        <v>1395</v>
      </c>
      <c r="AO534" s="1"/>
      <c r="AP534" s="2">
        <v>43806.5937384259</v>
      </c>
      <c r="AQ534" s="1"/>
      <c r="AR534" s="1" t="s">
        <v>871</v>
      </c>
      <c r="AS534" s="1"/>
      <c r="AT534" s="2">
        <v>44269.931099537</v>
      </c>
    </row>
    <row r="535" ht="13.5" customHeight="1">
      <c r="A535" s="1"/>
      <c r="B535" s="1" t="s">
        <v>46</v>
      </c>
      <c r="C535" s="1" t="s">
        <v>47</v>
      </c>
      <c r="D535" s="1"/>
      <c r="E535" s="1" t="s">
        <v>2532</v>
      </c>
      <c r="F535" s="1"/>
      <c r="G535" s="1" t="s">
        <v>49</v>
      </c>
      <c r="H535" s="1" t="s">
        <v>93</v>
      </c>
      <c r="I535" s="1">
        <v>114400.0</v>
      </c>
      <c r="J535" s="1"/>
      <c r="K535" s="1"/>
      <c r="L535" s="1"/>
      <c r="M535" s="1" t="s">
        <v>2533</v>
      </c>
      <c r="N535" s="1" t="s">
        <v>142</v>
      </c>
      <c r="O535" s="1" t="s">
        <v>143</v>
      </c>
      <c r="P535" s="2">
        <v>43806.5845717593</v>
      </c>
      <c r="Q535" s="1" t="s">
        <v>373</v>
      </c>
      <c r="R535" s="1"/>
      <c r="S535" s="1"/>
      <c r="T535" s="1">
        <v>1101492.0</v>
      </c>
      <c r="U535" s="1" t="s">
        <v>2181</v>
      </c>
      <c r="V535" s="1" t="s">
        <v>448</v>
      </c>
      <c r="W535" s="1" t="s">
        <v>177</v>
      </c>
      <c r="X535" s="1"/>
      <c r="Y535" s="1"/>
      <c r="Z535" s="1" t="s">
        <v>147</v>
      </c>
      <c r="AA535" s="1" t="s">
        <v>2534</v>
      </c>
      <c r="AB535" s="1" t="str">
        <f>"***467712**"</f>
        <v>***467712**</v>
      </c>
      <c r="AC535" s="1"/>
      <c r="AD535" s="1" t="s">
        <v>116</v>
      </c>
      <c r="AE535" s="1"/>
      <c r="AF535" s="1">
        <v>-63.258888</v>
      </c>
      <c r="AG535" s="1">
        <v>-12.258889</v>
      </c>
      <c r="AH535" s="1" t="s">
        <v>2535</v>
      </c>
      <c r="AI535" s="1"/>
      <c r="AJ535" s="1" t="s">
        <v>172</v>
      </c>
      <c r="AK535" s="1"/>
      <c r="AL535" s="1"/>
      <c r="AM535" s="1" t="s">
        <v>65</v>
      </c>
      <c r="AN535" s="1" t="s">
        <v>1395</v>
      </c>
      <c r="AO535" s="1"/>
      <c r="AP535" s="2">
        <v>43806.6416550926</v>
      </c>
      <c r="AQ535" s="1"/>
      <c r="AR535" s="1" t="s">
        <v>644</v>
      </c>
      <c r="AS535" s="1" t="s">
        <v>2536</v>
      </c>
      <c r="AT535" s="2">
        <v>44269.931099537</v>
      </c>
    </row>
    <row r="536" ht="13.5" customHeight="1">
      <c r="A536" s="1">
        <v>2035992.0</v>
      </c>
      <c r="B536" s="1" t="s">
        <v>67</v>
      </c>
      <c r="C536" s="1" t="s">
        <v>68</v>
      </c>
      <c r="D536" s="1" t="s">
        <v>46</v>
      </c>
      <c r="E536" s="1" t="s">
        <v>2537</v>
      </c>
      <c r="F536" s="1"/>
      <c r="G536" s="1" t="s">
        <v>70</v>
      </c>
      <c r="H536" s="1" t="s">
        <v>93</v>
      </c>
      <c r="I536" s="1">
        <v>325200.0</v>
      </c>
      <c r="J536" s="1"/>
      <c r="K536" s="1"/>
      <c r="L536" s="1" t="s">
        <v>172</v>
      </c>
      <c r="M536" s="1" t="s">
        <v>2538</v>
      </c>
      <c r="N536" s="1" t="s">
        <v>142</v>
      </c>
      <c r="O536" s="1" t="s">
        <v>143</v>
      </c>
      <c r="P536" s="2">
        <v>43806.4583333333</v>
      </c>
      <c r="Q536" s="1" t="s">
        <v>373</v>
      </c>
      <c r="R536" s="3">
        <v>43806.0</v>
      </c>
      <c r="S536" s="1"/>
      <c r="T536" s="1">
        <v>1100346.0</v>
      </c>
      <c r="U536" s="1" t="s">
        <v>2529</v>
      </c>
      <c r="V536" s="1" t="s">
        <v>448</v>
      </c>
      <c r="W536" s="1" t="s">
        <v>177</v>
      </c>
      <c r="X536" s="1"/>
      <c r="Y536" s="1" t="str">
        <f>"02001009360202044"</f>
        <v>02001009360202044</v>
      </c>
      <c r="Z536" s="1" t="s">
        <v>147</v>
      </c>
      <c r="AA536" s="1" t="s">
        <v>2539</v>
      </c>
      <c r="AB536" s="1" t="str">
        <f>"***086989**"</f>
        <v>***086989**</v>
      </c>
      <c r="AC536" s="1"/>
      <c r="AD536" s="1"/>
      <c r="AE536" s="1"/>
      <c r="AF536" s="1">
        <v>-62.422222</v>
      </c>
      <c r="AG536" s="1">
        <v>-11.555555</v>
      </c>
      <c r="AH536" s="1" t="s">
        <v>2540</v>
      </c>
      <c r="AI536" s="1"/>
      <c r="AJ536" s="1" t="s">
        <v>172</v>
      </c>
      <c r="AK536" s="1"/>
      <c r="AL536" s="1" t="s">
        <v>79</v>
      </c>
      <c r="AM536" s="1" t="s">
        <v>65</v>
      </c>
      <c r="AN536" s="1" t="s">
        <v>1395</v>
      </c>
      <c r="AO536" s="2">
        <v>43923.0</v>
      </c>
      <c r="AP536" s="2">
        <v>43923.7027662037</v>
      </c>
      <c r="AQ536" s="1" t="s">
        <v>80</v>
      </c>
      <c r="AR536" s="1" t="s">
        <v>650</v>
      </c>
      <c r="AS536" s="1"/>
      <c r="AT536" s="2">
        <v>44269.931099537</v>
      </c>
    </row>
    <row r="537" ht="13.5" customHeight="1">
      <c r="A537" s="1">
        <v>2036998.0</v>
      </c>
      <c r="B537" s="1" t="s">
        <v>67</v>
      </c>
      <c r="C537" s="1" t="s">
        <v>68</v>
      </c>
      <c r="D537" s="1" t="s">
        <v>46</v>
      </c>
      <c r="E537" s="1" t="s">
        <v>2541</v>
      </c>
      <c r="F537" s="1"/>
      <c r="G537" s="1" t="s">
        <v>70</v>
      </c>
      <c r="H537" s="1" t="s">
        <v>50</v>
      </c>
      <c r="I537" s="1">
        <v>307500.0</v>
      </c>
      <c r="J537" s="1"/>
      <c r="K537" s="1"/>
      <c r="L537" s="1" t="s">
        <v>800</v>
      </c>
      <c r="M537" s="1" t="s">
        <v>2542</v>
      </c>
      <c r="N537" s="1" t="s">
        <v>142</v>
      </c>
      <c r="O537" s="1" t="s">
        <v>143</v>
      </c>
      <c r="P537" s="2">
        <v>43806.3333333333</v>
      </c>
      <c r="Q537" s="1" t="s">
        <v>74</v>
      </c>
      <c r="R537" s="3">
        <v>43807.0</v>
      </c>
      <c r="S537" s="1"/>
      <c r="T537" s="1">
        <v>1600303.0</v>
      </c>
      <c r="U537" s="1" t="s">
        <v>796</v>
      </c>
      <c r="V537" s="1" t="s">
        <v>797</v>
      </c>
      <c r="W537" s="1" t="s">
        <v>177</v>
      </c>
      <c r="X537" s="1"/>
      <c r="Y537" s="1" t="str">
        <f>"02004000673202015"</f>
        <v>02004000673202015</v>
      </c>
      <c r="Z537" s="1" t="s">
        <v>147</v>
      </c>
      <c r="AA537" s="1" t="s">
        <v>2543</v>
      </c>
      <c r="AB537" s="1" t="str">
        <f>"***623802**"</f>
        <v>***623802**</v>
      </c>
      <c r="AC537" s="1"/>
      <c r="AD537" s="1"/>
      <c r="AE537" s="1"/>
      <c r="AF537" s="1">
        <v>-50.684444</v>
      </c>
      <c r="AG537" s="1">
        <v>0.919167</v>
      </c>
      <c r="AH537" s="1" t="s">
        <v>2544</v>
      </c>
      <c r="AI537" s="1"/>
      <c r="AJ537" s="1" t="s">
        <v>800</v>
      </c>
      <c r="AK537" s="1"/>
      <c r="AL537" s="1" t="s">
        <v>79</v>
      </c>
      <c r="AM537" s="1" t="s">
        <v>65</v>
      </c>
      <c r="AN537" s="1" t="s">
        <v>1008</v>
      </c>
      <c r="AO537" s="2">
        <v>43982.0</v>
      </c>
      <c r="AP537" s="2">
        <v>43982.0550347222</v>
      </c>
      <c r="AQ537" s="1" t="s">
        <v>80</v>
      </c>
      <c r="AR537" s="1" t="s">
        <v>2545</v>
      </c>
      <c r="AS537" s="1" t="s">
        <v>1009</v>
      </c>
      <c r="AT537" s="2">
        <v>44269.931099537</v>
      </c>
    </row>
    <row r="538" ht="13.5" customHeight="1">
      <c r="A538" s="1"/>
      <c r="B538" s="1" t="s">
        <v>46</v>
      </c>
      <c r="C538" s="1" t="s">
        <v>47</v>
      </c>
      <c r="D538" s="1"/>
      <c r="E538" s="1" t="s">
        <v>2546</v>
      </c>
      <c r="F538" s="1"/>
      <c r="G538" s="1" t="s">
        <v>49</v>
      </c>
      <c r="H538" s="1" t="s">
        <v>50</v>
      </c>
      <c r="I538" s="1">
        <v>311500.0</v>
      </c>
      <c r="J538" s="1"/>
      <c r="K538" s="1" t="s">
        <v>140</v>
      </c>
      <c r="L538" s="1"/>
      <c r="M538" s="1" t="s">
        <v>2547</v>
      </c>
      <c r="N538" s="1" t="s">
        <v>123</v>
      </c>
      <c r="O538" s="1" t="s">
        <v>73</v>
      </c>
      <c r="P538" s="2">
        <v>43805.873900463</v>
      </c>
      <c r="Q538" s="1" t="s">
        <v>373</v>
      </c>
      <c r="R538" s="1"/>
      <c r="S538" s="1"/>
      <c r="T538" s="1">
        <v>1400100.0</v>
      </c>
      <c r="U538" s="1" t="s">
        <v>185</v>
      </c>
      <c r="V538" s="1" t="s">
        <v>186</v>
      </c>
      <c r="W538" s="1" t="s">
        <v>177</v>
      </c>
      <c r="X538" s="1"/>
      <c r="Y538" s="1"/>
      <c r="Z538" s="1" t="s">
        <v>76</v>
      </c>
      <c r="AA538" s="1" t="s">
        <v>1646</v>
      </c>
      <c r="AB538" s="1" t="str">
        <f>"10327875000156"</f>
        <v>10327875000156</v>
      </c>
      <c r="AC538" s="1"/>
      <c r="AD538" s="1" t="s">
        <v>149</v>
      </c>
      <c r="AE538" s="1"/>
      <c r="AF538" s="1">
        <v>-60.698612</v>
      </c>
      <c r="AG538" s="1">
        <v>2.824167</v>
      </c>
      <c r="AH538" s="1" t="s">
        <v>2548</v>
      </c>
      <c r="AI538" s="1"/>
      <c r="AJ538" s="1" t="s">
        <v>172</v>
      </c>
      <c r="AK538" s="1"/>
      <c r="AL538" s="1"/>
      <c r="AM538" s="1" t="s">
        <v>65</v>
      </c>
      <c r="AN538" s="1" t="s">
        <v>180</v>
      </c>
      <c r="AO538" s="1"/>
      <c r="AP538" s="2">
        <v>44061.8503009259</v>
      </c>
      <c r="AQ538" s="1"/>
      <c r="AR538" s="1" t="s">
        <v>2549</v>
      </c>
      <c r="AS538" s="1"/>
      <c r="AT538" s="2">
        <v>44269.931099537</v>
      </c>
    </row>
    <row r="539" ht="13.5" customHeight="1">
      <c r="A539" s="1"/>
      <c r="B539" s="1" t="s">
        <v>46</v>
      </c>
      <c r="C539" s="1" t="s">
        <v>47</v>
      </c>
      <c r="D539" s="1"/>
      <c r="E539" s="1" t="s">
        <v>2550</v>
      </c>
      <c r="F539" s="1"/>
      <c r="G539" s="1" t="s">
        <v>49</v>
      </c>
      <c r="H539" s="1" t="s">
        <v>93</v>
      </c>
      <c r="I539" s="1">
        <v>5000.0</v>
      </c>
      <c r="J539" s="1"/>
      <c r="K539" s="1"/>
      <c r="L539" s="1"/>
      <c r="M539" s="1" t="s">
        <v>2551</v>
      </c>
      <c r="N539" s="1" t="s">
        <v>95</v>
      </c>
      <c r="O539" s="1" t="s">
        <v>96</v>
      </c>
      <c r="P539" s="2">
        <v>43805.8501388889</v>
      </c>
      <c r="Q539" s="1" t="s">
        <v>373</v>
      </c>
      <c r="R539" s="1"/>
      <c r="S539" s="1"/>
      <c r="T539" s="1">
        <v>1400472.0</v>
      </c>
      <c r="U539" s="1" t="s">
        <v>574</v>
      </c>
      <c r="V539" s="1" t="s">
        <v>186</v>
      </c>
      <c r="W539" s="1" t="s">
        <v>177</v>
      </c>
      <c r="X539" s="1"/>
      <c r="Y539" s="1"/>
      <c r="Z539" s="1" t="s">
        <v>98</v>
      </c>
      <c r="AA539" s="1" t="s">
        <v>2552</v>
      </c>
      <c r="AB539" s="1" t="str">
        <f>"***619912**"</f>
        <v>***619912**</v>
      </c>
      <c r="AC539" s="1"/>
      <c r="AD539" s="1" t="s">
        <v>62</v>
      </c>
      <c r="AE539" s="1"/>
      <c r="AF539" s="1">
        <v>-61.797779</v>
      </c>
      <c r="AG539" s="1">
        <v>-0.436389</v>
      </c>
      <c r="AH539" s="1" t="s">
        <v>2553</v>
      </c>
      <c r="AI539" s="1"/>
      <c r="AJ539" s="1" t="s">
        <v>415</v>
      </c>
      <c r="AK539" s="1"/>
      <c r="AL539" s="1"/>
      <c r="AM539" s="1" t="s">
        <v>65</v>
      </c>
      <c r="AN539" s="1" t="s">
        <v>2554</v>
      </c>
      <c r="AO539" s="1"/>
      <c r="AP539" s="2">
        <v>43805.8653472222</v>
      </c>
      <c r="AQ539" s="1"/>
      <c r="AR539" s="1" t="s">
        <v>941</v>
      </c>
      <c r="AS539" s="1" t="s">
        <v>2555</v>
      </c>
      <c r="AT539" s="2">
        <v>44269.931099537</v>
      </c>
    </row>
    <row r="540" ht="13.5" customHeight="1">
      <c r="A540" s="1">
        <v>2038272.0</v>
      </c>
      <c r="B540" s="1" t="s">
        <v>67</v>
      </c>
      <c r="C540" s="1" t="s">
        <v>68</v>
      </c>
      <c r="D540" s="1" t="s">
        <v>46</v>
      </c>
      <c r="E540" s="1" t="s">
        <v>2556</v>
      </c>
      <c r="F540" s="1"/>
      <c r="G540" s="1" t="s">
        <v>70</v>
      </c>
      <c r="H540" s="1" t="s">
        <v>93</v>
      </c>
      <c r="I540" s="1">
        <v>52500.0</v>
      </c>
      <c r="J540" s="1"/>
      <c r="K540" s="1"/>
      <c r="L540" s="1" t="s">
        <v>172</v>
      </c>
      <c r="M540" s="1" t="s">
        <v>2557</v>
      </c>
      <c r="N540" s="1" t="s">
        <v>72</v>
      </c>
      <c r="O540" s="1" t="s">
        <v>73</v>
      </c>
      <c r="P540" s="2">
        <v>43805.8333333333</v>
      </c>
      <c r="Q540" s="1" t="s">
        <v>373</v>
      </c>
      <c r="R540" s="3">
        <v>43805.0</v>
      </c>
      <c r="S540" s="1"/>
      <c r="T540" s="1">
        <v>1400100.0</v>
      </c>
      <c r="U540" s="1" t="s">
        <v>185</v>
      </c>
      <c r="V540" s="1" t="s">
        <v>186</v>
      </c>
      <c r="W540" s="1" t="s">
        <v>177</v>
      </c>
      <c r="X540" s="1"/>
      <c r="Y540" s="1" t="str">
        <f>"02001002940202019"</f>
        <v>02001002940202019</v>
      </c>
      <c r="Z540" s="1" t="s">
        <v>76</v>
      </c>
      <c r="AA540" s="1" t="s">
        <v>2558</v>
      </c>
      <c r="AB540" s="1" t="str">
        <f>"07160273000142"</f>
        <v>07160273000142</v>
      </c>
      <c r="AC540" s="1"/>
      <c r="AD540" s="1"/>
      <c r="AE540" s="1"/>
      <c r="AF540" s="1">
        <v>-60.696667</v>
      </c>
      <c r="AG540" s="1">
        <v>2.828055</v>
      </c>
      <c r="AH540" s="1" t="s">
        <v>2559</v>
      </c>
      <c r="AI540" s="1"/>
      <c r="AJ540" s="1" t="s">
        <v>172</v>
      </c>
      <c r="AK540" s="1"/>
      <c r="AL540" s="1" t="s">
        <v>79</v>
      </c>
      <c r="AM540" s="1" t="s">
        <v>65</v>
      </c>
      <c r="AN540" s="1" t="s">
        <v>180</v>
      </c>
      <c r="AO540" s="2">
        <v>44028.0</v>
      </c>
      <c r="AP540" s="2">
        <v>44028.6155671296</v>
      </c>
      <c r="AQ540" s="1" t="s">
        <v>80</v>
      </c>
      <c r="AR540" s="1" t="s">
        <v>81</v>
      </c>
      <c r="AS540" s="1"/>
      <c r="AT540" s="2">
        <v>44269.931099537</v>
      </c>
    </row>
    <row r="541" ht="13.5" customHeight="1">
      <c r="A541" s="1"/>
      <c r="B541" s="1" t="s">
        <v>46</v>
      </c>
      <c r="C541" s="1" t="s">
        <v>47</v>
      </c>
      <c r="D541" s="1"/>
      <c r="E541" s="1" t="s">
        <v>2560</v>
      </c>
      <c r="F541" s="1"/>
      <c r="G541" s="1" t="s">
        <v>49</v>
      </c>
      <c r="H541" s="1" t="s">
        <v>93</v>
      </c>
      <c r="I541" s="1">
        <v>735000.0</v>
      </c>
      <c r="J541" s="1"/>
      <c r="K541" s="1"/>
      <c r="L541" s="1"/>
      <c r="M541" s="1" t="s">
        <v>2561</v>
      </c>
      <c r="N541" s="1" t="s">
        <v>142</v>
      </c>
      <c r="O541" s="1" t="s">
        <v>143</v>
      </c>
      <c r="P541" s="2">
        <v>43805.8231597222</v>
      </c>
      <c r="Q541" s="1" t="s">
        <v>373</v>
      </c>
      <c r="R541" s="1"/>
      <c r="S541" s="1"/>
      <c r="T541" s="1">
        <v>1100320.0</v>
      </c>
      <c r="U541" s="1" t="s">
        <v>1851</v>
      </c>
      <c r="V541" s="1" t="s">
        <v>448</v>
      </c>
      <c r="W541" s="1" t="s">
        <v>177</v>
      </c>
      <c r="X541" s="1"/>
      <c r="Y541" s="1"/>
      <c r="Z541" s="1" t="s">
        <v>147</v>
      </c>
      <c r="AA541" s="1" t="s">
        <v>2562</v>
      </c>
      <c r="AB541" s="1" t="str">
        <f>"***576402**"</f>
        <v>***576402**</v>
      </c>
      <c r="AC541" s="1"/>
      <c r="AD541" s="1" t="s">
        <v>116</v>
      </c>
      <c r="AE541" s="1"/>
      <c r="AF541" s="1">
        <v>-63.139721</v>
      </c>
      <c r="AG541" s="1">
        <v>-12.130834</v>
      </c>
      <c r="AH541" s="1" t="s">
        <v>2563</v>
      </c>
      <c r="AI541" s="1"/>
      <c r="AJ541" s="1" t="s">
        <v>172</v>
      </c>
      <c r="AK541" s="1"/>
      <c r="AL541" s="1"/>
      <c r="AM541" s="1" t="s">
        <v>65</v>
      </c>
      <c r="AN541" s="1" t="s">
        <v>1395</v>
      </c>
      <c r="AO541" s="1"/>
      <c r="AP541" s="2">
        <v>43805.8305092593</v>
      </c>
      <c r="AQ541" s="1"/>
      <c r="AR541" s="1" t="s">
        <v>871</v>
      </c>
      <c r="AS541" s="1"/>
      <c r="AT541" s="2">
        <v>44269.931099537</v>
      </c>
    </row>
    <row r="542" ht="13.5" customHeight="1">
      <c r="A542" s="1"/>
      <c r="B542" s="1" t="s">
        <v>46</v>
      </c>
      <c r="C542" s="1" t="s">
        <v>47</v>
      </c>
      <c r="D542" s="1"/>
      <c r="E542" s="1" t="s">
        <v>2564</v>
      </c>
      <c r="F542" s="1"/>
      <c r="G542" s="1" t="s">
        <v>49</v>
      </c>
      <c r="H542" s="1" t="s">
        <v>93</v>
      </c>
      <c r="I542" s="1">
        <v>760000.0</v>
      </c>
      <c r="J542" s="1"/>
      <c r="K542" s="1"/>
      <c r="L542" s="1"/>
      <c r="M542" s="1" t="s">
        <v>2565</v>
      </c>
      <c r="N542" s="1" t="s">
        <v>142</v>
      </c>
      <c r="O542" s="1" t="s">
        <v>143</v>
      </c>
      <c r="P542" s="2">
        <v>43805.803287037</v>
      </c>
      <c r="Q542" s="1" t="s">
        <v>373</v>
      </c>
      <c r="R542" s="1"/>
      <c r="S542" s="1"/>
      <c r="T542" s="1">
        <v>1100320.0</v>
      </c>
      <c r="U542" s="1" t="s">
        <v>1851</v>
      </c>
      <c r="V542" s="1" t="s">
        <v>448</v>
      </c>
      <c r="W542" s="1" t="s">
        <v>177</v>
      </c>
      <c r="X542" s="1"/>
      <c r="Y542" s="1"/>
      <c r="Z542" s="1" t="s">
        <v>147</v>
      </c>
      <c r="AA542" s="1" t="s">
        <v>2566</v>
      </c>
      <c r="AB542" s="1" t="str">
        <f>"***798212**"</f>
        <v>***798212**</v>
      </c>
      <c r="AC542" s="1"/>
      <c r="AD542" s="1" t="s">
        <v>116</v>
      </c>
      <c r="AE542" s="1"/>
      <c r="AF542" s="1">
        <v>-63.113888</v>
      </c>
      <c r="AG542" s="1">
        <v>-12.174723</v>
      </c>
      <c r="AH542" s="1" t="s">
        <v>2567</v>
      </c>
      <c r="AI542" s="1"/>
      <c r="AJ542" s="1" t="s">
        <v>172</v>
      </c>
      <c r="AK542" s="1"/>
      <c r="AL542" s="1"/>
      <c r="AM542" s="1" t="s">
        <v>65</v>
      </c>
      <c r="AN542" s="1" t="s">
        <v>1395</v>
      </c>
      <c r="AO542" s="1"/>
      <c r="AP542" s="2">
        <v>43805.8087384259</v>
      </c>
      <c r="AQ542" s="1"/>
      <c r="AR542" s="1" t="s">
        <v>871</v>
      </c>
      <c r="AS542" s="1"/>
      <c r="AT542" s="2">
        <v>44269.931099537</v>
      </c>
    </row>
    <row r="543" ht="13.5" customHeight="1">
      <c r="A543" s="1">
        <v>2034463.0</v>
      </c>
      <c r="B543" s="1" t="s">
        <v>67</v>
      </c>
      <c r="C543" s="1" t="s">
        <v>68</v>
      </c>
      <c r="D543" s="1" t="s">
        <v>46</v>
      </c>
      <c r="E543" s="1" t="s">
        <v>2568</v>
      </c>
      <c r="F543" s="1"/>
      <c r="G543" s="1" t="s">
        <v>70</v>
      </c>
      <c r="H543" s="1" t="s">
        <v>93</v>
      </c>
      <c r="I543" s="1">
        <v>5000.0</v>
      </c>
      <c r="J543" s="1"/>
      <c r="K543" s="1"/>
      <c r="L543" s="1" t="s">
        <v>106</v>
      </c>
      <c r="M543" s="1" t="s">
        <v>2569</v>
      </c>
      <c r="N543" s="1" t="s">
        <v>95</v>
      </c>
      <c r="O543" s="1" t="s">
        <v>96</v>
      </c>
      <c r="P543" s="2">
        <v>43805.8013888889</v>
      </c>
      <c r="Q543" s="1" t="s">
        <v>373</v>
      </c>
      <c r="R543" s="1"/>
      <c r="S543" s="1"/>
      <c r="T543" s="1">
        <v>2304509.0</v>
      </c>
      <c r="U543" s="1" t="s">
        <v>2570</v>
      </c>
      <c r="V543" s="1" t="s">
        <v>112</v>
      </c>
      <c r="W543" s="1" t="s">
        <v>113</v>
      </c>
      <c r="X543" s="1"/>
      <c r="Y543" s="1" t="str">
        <f>"02007004069201996"</f>
        <v>02007004069201996</v>
      </c>
      <c r="Z543" s="1" t="s">
        <v>1267</v>
      </c>
      <c r="AA543" s="1" t="s">
        <v>2571</v>
      </c>
      <c r="AB543" s="1" t="str">
        <f>"***274503**"</f>
        <v>***274503**</v>
      </c>
      <c r="AC543" s="1"/>
      <c r="AD543" s="1" t="s">
        <v>116</v>
      </c>
      <c r="AE543" s="1"/>
      <c r="AF543" s="1">
        <v>0.0</v>
      </c>
      <c r="AG543" s="1">
        <v>0.0</v>
      </c>
      <c r="AH543" s="1" t="s">
        <v>1269</v>
      </c>
      <c r="AI543" s="1"/>
      <c r="AJ543" s="1"/>
      <c r="AK543" s="1"/>
      <c r="AL543" s="1" t="s">
        <v>118</v>
      </c>
      <c r="AM543" s="1"/>
      <c r="AN543" s="1"/>
      <c r="AO543" s="2">
        <v>43872.7511805556</v>
      </c>
      <c r="AP543" s="2">
        <v>43872.7511805556</v>
      </c>
      <c r="AQ543" s="1" t="s">
        <v>80</v>
      </c>
      <c r="AR543" s="1" t="s">
        <v>2572</v>
      </c>
      <c r="AS543" s="1"/>
      <c r="AT543" s="2">
        <v>44269.931099537</v>
      </c>
    </row>
    <row r="544" ht="13.5" customHeight="1">
      <c r="A544" s="1">
        <v>2037054.0</v>
      </c>
      <c r="B544" s="1" t="s">
        <v>67</v>
      </c>
      <c r="C544" s="1" t="s">
        <v>68</v>
      </c>
      <c r="D544" s="1" t="s">
        <v>46</v>
      </c>
      <c r="E544" s="1" t="s">
        <v>2573</v>
      </c>
      <c r="F544" s="1"/>
      <c r="G544" s="1" t="s">
        <v>70</v>
      </c>
      <c r="H544" s="1" t="s">
        <v>50</v>
      </c>
      <c r="I544" s="1">
        <v>311500.0</v>
      </c>
      <c r="J544" s="1"/>
      <c r="K544" s="1"/>
      <c r="L544" s="1" t="s">
        <v>172</v>
      </c>
      <c r="M544" s="1" t="s">
        <v>2574</v>
      </c>
      <c r="N544" s="1" t="s">
        <v>72</v>
      </c>
      <c r="O544" s="1" t="s">
        <v>73</v>
      </c>
      <c r="P544" s="2">
        <v>43805.7916666667</v>
      </c>
      <c r="Q544" s="1" t="s">
        <v>373</v>
      </c>
      <c r="R544" s="3">
        <v>43805.0</v>
      </c>
      <c r="S544" s="1"/>
      <c r="T544" s="1">
        <v>1400100.0</v>
      </c>
      <c r="U544" s="1" t="s">
        <v>185</v>
      </c>
      <c r="V544" s="1" t="s">
        <v>186</v>
      </c>
      <c r="W544" s="1" t="s">
        <v>177</v>
      </c>
      <c r="X544" s="1"/>
      <c r="Y544" s="1" t="str">
        <f>"02001000132202017"</f>
        <v>02001000132202017</v>
      </c>
      <c r="Z544" s="1" t="s">
        <v>76</v>
      </c>
      <c r="AA544" s="1" t="s">
        <v>2575</v>
      </c>
      <c r="AB544" s="1" t="str">
        <f>"24543113000100"</f>
        <v>24543113000100</v>
      </c>
      <c r="AC544" s="1"/>
      <c r="AD544" s="1"/>
      <c r="AE544" s="1"/>
      <c r="AF544" s="1">
        <v>-60.698612</v>
      </c>
      <c r="AG544" s="1">
        <v>-2.824167</v>
      </c>
      <c r="AH544" s="1" t="s">
        <v>2576</v>
      </c>
      <c r="AI544" s="1"/>
      <c r="AJ544" s="1" t="s">
        <v>172</v>
      </c>
      <c r="AK544" s="1"/>
      <c r="AL544" s="1" t="s">
        <v>79</v>
      </c>
      <c r="AM544" s="1" t="s">
        <v>65</v>
      </c>
      <c r="AN544" s="1" t="s">
        <v>180</v>
      </c>
      <c r="AO544" s="2">
        <v>43983.0</v>
      </c>
      <c r="AP544" s="2">
        <v>43983.7125925926</v>
      </c>
      <c r="AQ544" s="1" t="s">
        <v>80</v>
      </c>
      <c r="AR544" s="1" t="s">
        <v>81</v>
      </c>
      <c r="AS544" s="1"/>
      <c r="AT544" s="2">
        <v>44269.931099537</v>
      </c>
    </row>
    <row r="545" ht="13.5" customHeight="1">
      <c r="A545" s="1">
        <v>2038273.0</v>
      </c>
      <c r="B545" s="1" t="s">
        <v>67</v>
      </c>
      <c r="C545" s="1" t="s">
        <v>68</v>
      </c>
      <c r="D545" s="1" t="s">
        <v>46</v>
      </c>
      <c r="E545" s="1" t="s">
        <v>2577</v>
      </c>
      <c r="F545" s="1"/>
      <c r="G545" s="1" t="s">
        <v>70</v>
      </c>
      <c r="H545" s="1" t="s">
        <v>93</v>
      </c>
      <c r="I545" s="1">
        <v>74009.55</v>
      </c>
      <c r="J545" s="1"/>
      <c r="K545" s="1"/>
      <c r="L545" s="1" t="s">
        <v>172</v>
      </c>
      <c r="M545" s="1" t="s">
        <v>2578</v>
      </c>
      <c r="N545" s="1" t="s">
        <v>142</v>
      </c>
      <c r="O545" s="1" t="s">
        <v>143</v>
      </c>
      <c r="P545" s="2">
        <v>43805.7916666667</v>
      </c>
      <c r="Q545" s="1" t="s">
        <v>373</v>
      </c>
      <c r="R545" s="3">
        <v>43805.0</v>
      </c>
      <c r="S545" s="1"/>
      <c r="T545" s="1">
        <v>1400308.0</v>
      </c>
      <c r="U545" s="1" t="s">
        <v>2579</v>
      </c>
      <c r="V545" s="1" t="s">
        <v>186</v>
      </c>
      <c r="W545" s="1" t="s">
        <v>177</v>
      </c>
      <c r="X545" s="1"/>
      <c r="Y545" s="1" t="str">
        <f>"02001002941202055"</f>
        <v>02001002941202055</v>
      </c>
      <c r="Z545" s="1" t="s">
        <v>147</v>
      </c>
      <c r="AA545" s="1" t="s">
        <v>2558</v>
      </c>
      <c r="AB545" s="1" t="str">
        <f>"07160273000142"</f>
        <v>07160273000142</v>
      </c>
      <c r="AC545" s="1"/>
      <c r="AD545" s="1"/>
      <c r="AE545" s="1"/>
      <c r="AF545" s="1">
        <v>-60.92778</v>
      </c>
      <c r="AG545" s="1">
        <v>2.437778</v>
      </c>
      <c r="AH545" s="1" t="s">
        <v>2580</v>
      </c>
      <c r="AI545" s="1"/>
      <c r="AJ545" s="1" t="s">
        <v>172</v>
      </c>
      <c r="AK545" s="1"/>
      <c r="AL545" s="1" t="s">
        <v>79</v>
      </c>
      <c r="AM545" s="1" t="s">
        <v>65</v>
      </c>
      <c r="AN545" s="1" t="s">
        <v>180</v>
      </c>
      <c r="AO545" s="2">
        <v>44028.0</v>
      </c>
      <c r="AP545" s="2">
        <v>44028.6164930556</v>
      </c>
      <c r="AQ545" s="1" t="s">
        <v>80</v>
      </c>
      <c r="AR545" s="1" t="s">
        <v>181</v>
      </c>
      <c r="AS545" s="1"/>
      <c r="AT545" s="2">
        <v>44269.931099537</v>
      </c>
    </row>
    <row r="546" ht="13.5" customHeight="1">
      <c r="A546" s="1">
        <v>2039403.0</v>
      </c>
      <c r="B546" s="1" t="s">
        <v>67</v>
      </c>
      <c r="C546" s="1" t="s">
        <v>68</v>
      </c>
      <c r="D546" s="1" t="s">
        <v>46</v>
      </c>
      <c r="E546" s="1" t="s">
        <v>2581</v>
      </c>
      <c r="F546" s="1"/>
      <c r="G546" s="1" t="s">
        <v>70</v>
      </c>
      <c r="H546" s="1" t="s">
        <v>50</v>
      </c>
      <c r="I546" s="1">
        <v>111500.0</v>
      </c>
      <c r="J546" s="1"/>
      <c r="K546" s="1"/>
      <c r="L546" s="1" t="s">
        <v>172</v>
      </c>
      <c r="M546" s="1" t="s">
        <v>2582</v>
      </c>
      <c r="N546" s="1" t="s">
        <v>72</v>
      </c>
      <c r="O546" s="1" t="s">
        <v>73</v>
      </c>
      <c r="P546" s="2">
        <v>43805.7916666667</v>
      </c>
      <c r="Q546" s="1" t="s">
        <v>74</v>
      </c>
      <c r="R546" s="3">
        <v>43811.0</v>
      </c>
      <c r="S546" s="1"/>
      <c r="T546" s="1">
        <v>1400100.0</v>
      </c>
      <c r="U546" s="1" t="s">
        <v>185</v>
      </c>
      <c r="V546" s="1" t="s">
        <v>186</v>
      </c>
      <c r="W546" s="1" t="s">
        <v>177</v>
      </c>
      <c r="X546" s="1"/>
      <c r="Y546" s="1" t="str">
        <f>"02001000139202021"</f>
        <v>02001000139202021</v>
      </c>
      <c r="Z546" s="1" t="s">
        <v>76</v>
      </c>
      <c r="AA546" s="1" t="s">
        <v>2583</v>
      </c>
      <c r="AB546" s="1" t="str">
        <f>"30154429000102"</f>
        <v>30154429000102</v>
      </c>
      <c r="AC546" s="1"/>
      <c r="AD546" s="1"/>
      <c r="AE546" s="1"/>
      <c r="AF546" s="1">
        <v>-60.698612</v>
      </c>
      <c r="AG546" s="1">
        <v>-2.824167</v>
      </c>
      <c r="AH546" s="1" t="s">
        <v>2584</v>
      </c>
      <c r="AI546" s="1"/>
      <c r="AJ546" s="1" t="s">
        <v>172</v>
      </c>
      <c r="AK546" s="1"/>
      <c r="AL546" s="1" t="s">
        <v>79</v>
      </c>
      <c r="AM546" s="1" t="s">
        <v>65</v>
      </c>
      <c r="AN546" s="1" t="s">
        <v>180</v>
      </c>
      <c r="AO546" s="2">
        <v>44061.0</v>
      </c>
      <c r="AP546" s="2">
        <v>44061.7195601852</v>
      </c>
      <c r="AQ546" s="1" t="s">
        <v>80</v>
      </c>
      <c r="AR546" s="1" t="s">
        <v>81</v>
      </c>
      <c r="AS546" s="1"/>
      <c r="AT546" s="2">
        <v>44269.931099537</v>
      </c>
    </row>
    <row r="547" ht="13.5" customHeight="1">
      <c r="A547" s="1"/>
      <c r="B547" s="1" t="s">
        <v>46</v>
      </c>
      <c r="C547" s="1" t="s">
        <v>47</v>
      </c>
      <c r="D547" s="1"/>
      <c r="E547" s="1" t="s">
        <v>2585</v>
      </c>
      <c r="F547" s="1"/>
      <c r="G547" s="1" t="s">
        <v>49</v>
      </c>
      <c r="H547" s="1" t="s">
        <v>93</v>
      </c>
      <c r="I547" s="1">
        <v>5500.0</v>
      </c>
      <c r="J547" s="1"/>
      <c r="K547" s="1"/>
      <c r="L547" s="1"/>
      <c r="M547" s="1" t="s">
        <v>2586</v>
      </c>
      <c r="N547" s="1" t="s">
        <v>95</v>
      </c>
      <c r="O547" s="1" t="s">
        <v>96</v>
      </c>
      <c r="P547" s="2">
        <v>43805.7655902778</v>
      </c>
      <c r="Q547" s="1" t="s">
        <v>373</v>
      </c>
      <c r="R547" s="1"/>
      <c r="S547" s="1"/>
      <c r="T547" s="1">
        <v>2304509.0</v>
      </c>
      <c r="U547" s="1" t="s">
        <v>2570</v>
      </c>
      <c r="V547" s="1" t="s">
        <v>112</v>
      </c>
      <c r="W547" s="1" t="s">
        <v>113</v>
      </c>
      <c r="X547" s="1"/>
      <c r="Y547" s="1"/>
      <c r="Z547" s="1" t="s">
        <v>98</v>
      </c>
      <c r="AA547" s="1" t="s">
        <v>2587</v>
      </c>
      <c r="AB547" s="1" t="str">
        <f>"***015663**"</f>
        <v>***015663**</v>
      </c>
      <c r="AC547" s="1"/>
      <c r="AD547" s="1" t="s">
        <v>62</v>
      </c>
      <c r="AE547" s="1"/>
      <c r="AF547" s="1">
        <v>-40.813053</v>
      </c>
      <c r="AG547" s="1">
        <v>-3.750278</v>
      </c>
      <c r="AH547" s="1" t="s">
        <v>2588</v>
      </c>
      <c r="AI547" s="1"/>
      <c r="AJ547" s="1" t="s">
        <v>106</v>
      </c>
      <c r="AK547" s="1"/>
      <c r="AL547" s="1"/>
      <c r="AM547" s="1" t="s">
        <v>65</v>
      </c>
      <c r="AN547" s="1" t="s">
        <v>2589</v>
      </c>
      <c r="AO547" s="1"/>
      <c r="AP547" s="2">
        <v>43945.6089814815</v>
      </c>
      <c r="AQ547" s="1"/>
      <c r="AR547" s="1" t="s">
        <v>2590</v>
      </c>
      <c r="AS547" s="1"/>
      <c r="AT547" s="2">
        <v>44269.931099537</v>
      </c>
    </row>
    <row r="548" ht="13.5" customHeight="1">
      <c r="A548" s="1">
        <v>2035203.0</v>
      </c>
      <c r="B548" s="1" t="s">
        <v>67</v>
      </c>
      <c r="C548" s="1" t="s">
        <v>68</v>
      </c>
      <c r="D548" s="1" t="s">
        <v>46</v>
      </c>
      <c r="E548" s="1" t="s">
        <v>2591</v>
      </c>
      <c r="F548" s="1"/>
      <c r="G548" s="1" t="s">
        <v>70</v>
      </c>
      <c r="H548" s="1" t="s">
        <v>50</v>
      </c>
      <c r="I548" s="1">
        <v>2000.0</v>
      </c>
      <c r="J548" s="1"/>
      <c r="K548" s="1"/>
      <c r="L548" s="1" t="s">
        <v>106</v>
      </c>
      <c r="M548" s="1" t="s">
        <v>2592</v>
      </c>
      <c r="N548" s="1" t="s">
        <v>108</v>
      </c>
      <c r="O548" s="1" t="s">
        <v>109</v>
      </c>
      <c r="P548" s="2">
        <v>43805.6666666667</v>
      </c>
      <c r="Q548" s="1" t="s">
        <v>373</v>
      </c>
      <c r="R548" s="3">
        <v>43805.0</v>
      </c>
      <c r="S548" s="1"/>
      <c r="T548" s="1">
        <v>2302206.0</v>
      </c>
      <c r="U548" s="1" t="s">
        <v>1331</v>
      </c>
      <c r="V548" s="1" t="s">
        <v>112</v>
      </c>
      <c r="W548" s="1" t="s">
        <v>288</v>
      </c>
      <c r="X548" s="1"/>
      <c r="Y548" s="1" t="str">
        <f>"02007000887202053"</f>
        <v>02007000887202053</v>
      </c>
      <c r="Z548" s="1" t="s">
        <v>226</v>
      </c>
      <c r="AA548" s="1" t="s">
        <v>2593</v>
      </c>
      <c r="AB548" s="1" t="str">
        <f>"04212366000185"</f>
        <v>04212366000185</v>
      </c>
      <c r="AC548" s="1"/>
      <c r="AD548" s="1"/>
      <c r="AE548" s="1"/>
      <c r="AF548" s="1">
        <v>-38.520554</v>
      </c>
      <c r="AG548" s="1">
        <v>-3.756111</v>
      </c>
      <c r="AH548" s="1" t="s">
        <v>2594</v>
      </c>
      <c r="AI548" s="1"/>
      <c r="AJ548" s="1" t="s">
        <v>106</v>
      </c>
      <c r="AK548" s="1"/>
      <c r="AL548" s="1" t="s">
        <v>79</v>
      </c>
      <c r="AM548" s="1" t="s">
        <v>65</v>
      </c>
      <c r="AN548" s="1" t="s">
        <v>1321</v>
      </c>
      <c r="AO548" s="2">
        <v>43896.0</v>
      </c>
      <c r="AP548" s="2">
        <v>43896.6491898148</v>
      </c>
      <c r="AQ548" s="1" t="s">
        <v>80</v>
      </c>
      <c r="AR548" s="1" t="s">
        <v>1136</v>
      </c>
      <c r="AS548" s="1"/>
      <c r="AT548" s="2">
        <v>44269.931099537</v>
      </c>
    </row>
    <row r="549" ht="13.5" customHeight="1">
      <c r="A549" s="1">
        <v>2042315.0</v>
      </c>
      <c r="B549" s="1" t="s">
        <v>67</v>
      </c>
      <c r="C549" s="1" t="s">
        <v>68</v>
      </c>
      <c r="D549" s="1" t="s">
        <v>46</v>
      </c>
      <c r="E549" s="1" t="s">
        <v>2595</v>
      </c>
      <c r="F549" s="1"/>
      <c r="G549" s="1" t="s">
        <v>70</v>
      </c>
      <c r="H549" s="1" t="s">
        <v>93</v>
      </c>
      <c r="I549" s="1">
        <v>675000.0</v>
      </c>
      <c r="J549" s="1"/>
      <c r="K549" s="1"/>
      <c r="L549" s="1" t="s">
        <v>65</v>
      </c>
      <c r="M549" s="1" t="s">
        <v>2596</v>
      </c>
      <c r="N549" s="1" t="s">
        <v>142</v>
      </c>
      <c r="O549" s="1" t="s">
        <v>143</v>
      </c>
      <c r="P549" s="2">
        <v>43805.6666666667</v>
      </c>
      <c r="Q549" s="1" t="s">
        <v>373</v>
      </c>
      <c r="R549" s="3">
        <v>43805.0</v>
      </c>
      <c r="S549" s="1"/>
      <c r="T549" s="1">
        <v>1100320.0</v>
      </c>
      <c r="U549" s="1" t="s">
        <v>1851</v>
      </c>
      <c r="V549" s="1" t="s">
        <v>448</v>
      </c>
      <c r="W549" s="1" t="s">
        <v>177</v>
      </c>
      <c r="X549" s="1"/>
      <c r="Y549" s="1" t="str">
        <f>"02024008426201987"</f>
        <v>02024008426201987</v>
      </c>
      <c r="Z549" s="1" t="s">
        <v>147</v>
      </c>
      <c r="AA549" s="1" t="s">
        <v>2597</v>
      </c>
      <c r="AB549" s="1" t="str">
        <f>"***378442**"</f>
        <v>***378442**</v>
      </c>
      <c r="AC549" s="1"/>
      <c r="AD549" s="1" t="s">
        <v>116</v>
      </c>
      <c r="AE549" s="1"/>
      <c r="AF549" s="1">
        <v>-63.132778</v>
      </c>
      <c r="AG549" s="1">
        <v>-12.071944</v>
      </c>
      <c r="AH549" s="1" t="s">
        <v>2598</v>
      </c>
      <c r="AI549" s="1"/>
      <c r="AJ549" s="1" t="s">
        <v>172</v>
      </c>
      <c r="AK549" s="1" t="s">
        <v>1395</v>
      </c>
      <c r="AL549" s="1" t="s">
        <v>79</v>
      </c>
      <c r="AM549" s="1" t="s">
        <v>65</v>
      </c>
      <c r="AN549" s="1" t="s">
        <v>1395</v>
      </c>
      <c r="AO549" s="2">
        <v>44193.0</v>
      </c>
      <c r="AP549" s="2">
        <v>44211.7896180556</v>
      </c>
      <c r="AQ549" s="1" t="s">
        <v>80</v>
      </c>
      <c r="AR549" s="1" t="s">
        <v>421</v>
      </c>
      <c r="AS549" s="1"/>
      <c r="AT549" s="2">
        <v>44269.931099537</v>
      </c>
    </row>
    <row r="550" ht="13.5" customHeight="1">
      <c r="A550" s="1"/>
      <c r="B550" s="1" t="s">
        <v>46</v>
      </c>
      <c r="C550" s="1" t="s">
        <v>47</v>
      </c>
      <c r="D550" s="1"/>
      <c r="E550" s="1" t="s">
        <v>2599</v>
      </c>
      <c r="F550" s="1"/>
      <c r="G550" s="1" t="s">
        <v>49</v>
      </c>
      <c r="H550" s="1" t="s">
        <v>50</v>
      </c>
      <c r="I550" s="1">
        <v>11000.0</v>
      </c>
      <c r="J550" s="1"/>
      <c r="K550" s="1" t="s">
        <v>51</v>
      </c>
      <c r="L550" s="1"/>
      <c r="M550" s="1" t="s">
        <v>2600</v>
      </c>
      <c r="N550" s="1" t="s">
        <v>123</v>
      </c>
      <c r="O550" s="1" t="s">
        <v>73</v>
      </c>
      <c r="P550" s="2">
        <v>43805.6470601852</v>
      </c>
      <c r="Q550" s="1" t="s">
        <v>74</v>
      </c>
      <c r="R550" s="1"/>
      <c r="S550" s="1"/>
      <c r="T550" s="1">
        <v>3304557.0</v>
      </c>
      <c r="U550" s="1" t="s">
        <v>286</v>
      </c>
      <c r="V550" s="1" t="s">
        <v>287</v>
      </c>
      <c r="W550" s="1" t="s">
        <v>288</v>
      </c>
      <c r="X550" s="1"/>
      <c r="Y550" s="1"/>
      <c r="Z550" s="1" t="s">
        <v>76</v>
      </c>
      <c r="AA550" s="1" t="s">
        <v>2601</v>
      </c>
      <c r="AB550" s="1" t="str">
        <f>"11058804000168"</f>
        <v>11058804000168</v>
      </c>
      <c r="AC550" s="1"/>
      <c r="AD550" s="1" t="s">
        <v>62</v>
      </c>
      <c r="AE550" s="1"/>
      <c r="AF550" s="1">
        <v>-41.010277</v>
      </c>
      <c r="AG550" s="1">
        <v>-23.0825</v>
      </c>
      <c r="AH550" s="1" t="s">
        <v>982</v>
      </c>
      <c r="AI550" s="1"/>
      <c r="AJ550" s="1" t="s">
        <v>172</v>
      </c>
      <c r="AK550" s="1"/>
      <c r="AL550" s="1"/>
      <c r="AM550" s="1" t="s">
        <v>65</v>
      </c>
      <c r="AN550" s="1" t="s">
        <v>720</v>
      </c>
      <c r="AO550" s="1"/>
      <c r="AP550" s="2">
        <v>44013.720150463</v>
      </c>
      <c r="AQ550" s="1"/>
      <c r="AR550" s="1" t="s">
        <v>899</v>
      </c>
      <c r="AS550" s="1" t="s">
        <v>2602</v>
      </c>
      <c r="AT550" s="2">
        <v>44269.931099537</v>
      </c>
    </row>
    <row r="551" ht="13.5" customHeight="1">
      <c r="A551" s="1"/>
      <c r="B551" s="1" t="s">
        <v>46</v>
      </c>
      <c r="C551" s="1" t="s">
        <v>47</v>
      </c>
      <c r="D551" s="1"/>
      <c r="E551" s="1" t="s">
        <v>2603</v>
      </c>
      <c r="F551" s="1"/>
      <c r="G551" s="1" t="s">
        <v>49</v>
      </c>
      <c r="H551" s="1" t="s">
        <v>93</v>
      </c>
      <c r="I551" s="1">
        <v>500.0</v>
      </c>
      <c r="J551" s="1"/>
      <c r="K551" s="1" t="s">
        <v>51</v>
      </c>
      <c r="L551" s="1"/>
      <c r="M551" s="1" t="s">
        <v>2604</v>
      </c>
      <c r="N551" s="1" t="s">
        <v>977</v>
      </c>
      <c r="O551" s="1" t="s">
        <v>978</v>
      </c>
      <c r="P551" s="2">
        <v>43805.6469444445</v>
      </c>
      <c r="Q551" s="1" t="s">
        <v>74</v>
      </c>
      <c r="R551" s="1"/>
      <c r="S551" s="1"/>
      <c r="T551" s="1">
        <v>4317103.0</v>
      </c>
      <c r="U551" s="1" t="s">
        <v>144</v>
      </c>
      <c r="V551" s="1" t="s">
        <v>145</v>
      </c>
      <c r="W551" s="1" t="s">
        <v>146</v>
      </c>
      <c r="X551" s="1"/>
      <c r="Y551" s="1"/>
      <c r="Z551" s="1" t="s">
        <v>980</v>
      </c>
      <c r="AA551" s="1" t="s">
        <v>2605</v>
      </c>
      <c r="AB551" s="1" t="str">
        <f>"***743060**"</f>
        <v>***743060**</v>
      </c>
      <c r="AC551" s="1"/>
      <c r="AD551" s="1" t="s">
        <v>62</v>
      </c>
      <c r="AE551" s="1"/>
      <c r="AF551" s="1">
        <v>-55.308056</v>
      </c>
      <c r="AG551" s="1">
        <v>-30.996389</v>
      </c>
      <c r="AH551" s="1" t="s">
        <v>2606</v>
      </c>
      <c r="AI551" s="1"/>
      <c r="AJ551" s="1" t="s">
        <v>151</v>
      </c>
      <c r="AK551" s="1"/>
      <c r="AL551" s="1"/>
      <c r="AM551" s="1" t="s">
        <v>65</v>
      </c>
      <c r="AN551" s="1" t="s">
        <v>152</v>
      </c>
      <c r="AO551" s="1"/>
      <c r="AP551" s="2">
        <v>43805.7095023148</v>
      </c>
      <c r="AQ551" s="1"/>
      <c r="AR551" s="1" t="s">
        <v>1756</v>
      </c>
      <c r="AS551" s="1" t="s">
        <v>2607</v>
      </c>
      <c r="AT551" s="2">
        <v>44269.931099537</v>
      </c>
    </row>
    <row r="552" ht="13.5" customHeight="1">
      <c r="A552" s="1"/>
      <c r="B552" s="1" t="s">
        <v>46</v>
      </c>
      <c r="C552" s="1" t="s">
        <v>47</v>
      </c>
      <c r="D552" s="1"/>
      <c r="E552" s="1" t="s">
        <v>2608</v>
      </c>
      <c r="F552" s="1"/>
      <c r="G552" s="1" t="s">
        <v>49</v>
      </c>
      <c r="H552" s="1" t="s">
        <v>93</v>
      </c>
      <c r="I552" s="1">
        <v>5000.0</v>
      </c>
      <c r="J552" s="1"/>
      <c r="K552" s="1"/>
      <c r="L552" s="1"/>
      <c r="M552" s="1" t="s">
        <v>2609</v>
      </c>
      <c r="N552" s="1" t="s">
        <v>142</v>
      </c>
      <c r="O552" s="1" t="s">
        <v>143</v>
      </c>
      <c r="P552" s="2">
        <v>43805.6387037037</v>
      </c>
      <c r="Q552" s="1" t="s">
        <v>74</v>
      </c>
      <c r="R552" s="3">
        <v>43809.0</v>
      </c>
      <c r="S552" s="1"/>
      <c r="T552" s="1">
        <v>3147006.0</v>
      </c>
      <c r="U552" s="1" t="s">
        <v>2610</v>
      </c>
      <c r="V552" s="1" t="s">
        <v>126</v>
      </c>
      <c r="W552" s="1" t="s">
        <v>127</v>
      </c>
      <c r="X552" s="1"/>
      <c r="Y552" s="1"/>
      <c r="Z552" s="1" t="s">
        <v>147</v>
      </c>
      <c r="AA552" s="1" t="s">
        <v>2611</v>
      </c>
      <c r="AB552" s="1" t="str">
        <f>"20009004000148"</f>
        <v>20009004000148</v>
      </c>
      <c r="AC552" s="1"/>
      <c r="AD552" s="1" t="s">
        <v>116</v>
      </c>
      <c r="AE552" s="1"/>
      <c r="AF552" s="1">
        <v>-47.275833</v>
      </c>
      <c r="AG552" s="1">
        <v>-17.131945</v>
      </c>
      <c r="AH552" s="1" t="s">
        <v>2612</v>
      </c>
      <c r="AI552" s="1"/>
      <c r="AJ552" s="1" t="s">
        <v>244</v>
      </c>
      <c r="AK552" s="1"/>
      <c r="AL552" s="1"/>
      <c r="AM552" s="1" t="s">
        <v>65</v>
      </c>
      <c r="AN552" s="1" t="s">
        <v>432</v>
      </c>
      <c r="AO552" s="1"/>
      <c r="AP552" s="2">
        <v>43805.660775463</v>
      </c>
      <c r="AQ552" s="1"/>
      <c r="AR552" s="1" t="s">
        <v>2613</v>
      </c>
      <c r="AS552" s="1"/>
      <c r="AT552" s="2">
        <v>44269.931099537</v>
      </c>
    </row>
    <row r="553" ht="13.5" customHeight="1">
      <c r="A553" s="1"/>
      <c r="B553" s="1" t="s">
        <v>46</v>
      </c>
      <c r="C553" s="1" t="s">
        <v>47</v>
      </c>
      <c r="D553" s="1"/>
      <c r="E553" s="1" t="s">
        <v>2614</v>
      </c>
      <c r="F553" s="1"/>
      <c r="G553" s="1" t="s">
        <v>49</v>
      </c>
      <c r="H553" s="1" t="s">
        <v>93</v>
      </c>
      <c r="I553" s="1">
        <v>330000.0</v>
      </c>
      <c r="J553" s="1"/>
      <c r="K553" s="1"/>
      <c r="L553" s="1"/>
      <c r="M553" s="1" t="s">
        <v>2615</v>
      </c>
      <c r="N553" s="1" t="s">
        <v>142</v>
      </c>
      <c r="O553" s="1" t="s">
        <v>143</v>
      </c>
      <c r="P553" s="2">
        <v>43805.6333217593</v>
      </c>
      <c r="Q553" s="1" t="s">
        <v>373</v>
      </c>
      <c r="R553" s="1"/>
      <c r="S553" s="1"/>
      <c r="T553" s="1">
        <v>1100320.0</v>
      </c>
      <c r="U553" s="1" t="s">
        <v>1851</v>
      </c>
      <c r="V553" s="1" t="s">
        <v>448</v>
      </c>
      <c r="W553" s="1" t="s">
        <v>177</v>
      </c>
      <c r="X553" s="1"/>
      <c r="Y553" s="1"/>
      <c r="Z553" s="1" t="s">
        <v>147</v>
      </c>
      <c r="AA553" s="1" t="s">
        <v>2616</v>
      </c>
      <c r="AB553" s="1" t="str">
        <f>"***380468**"</f>
        <v>***380468**</v>
      </c>
      <c r="AC553" s="1"/>
      <c r="AD553" s="1" t="s">
        <v>116</v>
      </c>
      <c r="AE553" s="1"/>
      <c r="AF553" s="1">
        <v>-62.652779</v>
      </c>
      <c r="AG553" s="1">
        <v>-11.63</v>
      </c>
      <c r="AH553" s="1" t="s">
        <v>2617</v>
      </c>
      <c r="AI553" s="1"/>
      <c r="AJ553" s="1" t="s">
        <v>172</v>
      </c>
      <c r="AK553" s="1"/>
      <c r="AL553" s="1"/>
      <c r="AM553" s="1" t="s">
        <v>65</v>
      </c>
      <c r="AN553" s="1" t="s">
        <v>1395</v>
      </c>
      <c r="AO553" s="1"/>
      <c r="AP553" s="2">
        <v>43805.6400347222</v>
      </c>
      <c r="AQ553" s="1"/>
      <c r="AR553" s="1" t="s">
        <v>871</v>
      </c>
      <c r="AS553" s="1"/>
      <c r="AT553" s="2">
        <v>44269.931099537</v>
      </c>
    </row>
    <row r="554" ht="13.5" customHeight="1">
      <c r="A554" s="1">
        <v>2043202.0</v>
      </c>
      <c r="B554" s="1" t="s">
        <v>67</v>
      </c>
      <c r="C554" s="1" t="s">
        <v>68</v>
      </c>
      <c r="D554" s="1" t="s">
        <v>46</v>
      </c>
      <c r="E554" s="1" t="s">
        <v>2618</v>
      </c>
      <c r="F554" s="1"/>
      <c r="G554" s="1" t="s">
        <v>70</v>
      </c>
      <c r="H554" s="1" t="s">
        <v>93</v>
      </c>
      <c r="I554" s="1">
        <v>50000.0</v>
      </c>
      <c r="J554" s="1"/>
      <c r="K554" s="1"/>
      <c r="L554" s="1" t="s">
        <v>569</v>
      </c>
      <c r="M554" s="1" t="s">
        <v>2619</v>
      </c>
      <c r="N554" s="1" t="s">
        <v>142</v>
      </c>
      <c r="O554" s="1" t="s">
        <v>143</v>
      </c>
      <c r="P554" s="2">
        <v>43805.625</v>
      </c>
      <c r="Q554" s="1" t="s">
        <v>373</v>
      </c>
      <c r="R554" s="3">
        <v>43805.0</v>
      </c>
      <c r="S554" s="1" t="s">
        <v>1650</v>
      </c>
      <c r="T554" s="1">
        <v>2800407.0</v>
      </c>
      <c r="U554" s="1" t="s">
        <v>2620</v>
      </c>
      <c r="V554" s="1" t="s">
        <v>566</v>
      </c>
      <c r="W554" s="1" t="s">
        <v>59</v>
      </c>
      <c r="X554" s="1"/>
      <c r="Y554" s="1" t="str">
        <f>"02028000128202123"</f>
        <v>02028000128202123</v>
      </c>
      <c r="Z554" s="1" t="s">
        <v>147</v>
      </c>
      <c r="AA554" s="1" t="s">
        <v>2621</v>
      </c>
      <c r="AB554" s="1" t="str">
        <f>"***534495**"</f>
        <v>***534495**</v>
      </c>
      <c r="AC554" s="1"/>
      <c r="AD554" s="1"/>
      <c r="AE554" s="1"/>
      <c r="AF554" s="1">
        <v>-37.608333</v>
      </c>
      <c r="AG554" s="1">
        <v>-11.24</v>
      </c>
      <c r="AH554" s="1" t="s">
        <v>2622</v>
      </c>
      <c r="AI554" s="1"/>
      <c r="AJ554" s="1" t="s">
        <v>569</v>
      </c>
      <c r="AK554" s="1"/>
      <c r="AL554" s="1" t="s">
        <v>79</v>
      </c>
      <c r="AM554" s="1" t="s">
        <v>65</v>
      </c>
      <c r="AN554" s="1"/>
      <c r="AO554" s="2">
        <v>44230.0</v>
      </c>
      <c r="AP554" s="2">
        <v>44230.6122916667</v>
      </c>
      <c r="AQ554" s="1" t="s">
        <v>80</v>
      </c>
      <c r="AR554" s="1" t="s">
        <v>650</v>
      </c>
      <c r="AS554" s="1"/>
      <c r="AT554" s="2">
        <v>44269.931099537</v>
      </c>
    </row>
    <row r="555" ht="13.5" customHeight="1">
      <c r="A555" s="1"/>
      <c r="B555" s="1" t="s">
        <v>46</v>
      </c>
      <c r="C555" s="1" t="s">
        <v>47</v>
      </c>
      <c r="D555" s="1"/>
      <c r="E555" s="1" t="s">
        <v>2623</v>
      </c>
      <c r="F555" s="1"/>
      <c r="G555" s="1" t="s">
        <v>49</v>
      </c>
      <c r="H555" s="1" t="s">
        <v>93</v>
      </c>
      <c r="I555" s="1">
        <v>1500.0</v>
      </c>
      <c r="J555" s="1"/>
      <c r="K555" s="1"/>
      <c r="L555" s="1"/>
      <c r="M555" s="1" t="s">
        <v>2624</v>
      </c>
      <c r="N555" s="1" t="s">
        <v>142</v>
      </c>
      <c r="O555" s="1" t="s">
        <v>143</v>
      </c>
      <c r="P555" s="2">
        <v>43805.6240740741</v>
      </c>
      <c r="Q555" s="1" t="s">
        <v>373</v>
      </c>
      <c r="R555" s="1"/>
      <c r="S555" s="1"/>
      <c r="T555" s="1">
        <v>2313609.0</v>
      </c>
      <c r="U555" s="1" t="s">
        <v>2485</v>
      </c>
      <c r="V555" s="1" t="s">
        <v>112</v>
      </c>
      <c r="W555" s="1" t="s">
        <v>113</v>
      </c>
      <c r="X555" s="1"/>
      <c r="Y555" s="1"/>
      <c r="Z555" s="1" t="s">
        <v>147</v>
      </c>
      <c r="AA555" s="1" t="s">
        <v>2625</v>
      </c>
      <c r="AB555" s="1" t="str">
        <f>"***319103**"</f>
        <v>***319103**</v>
      </c>
      <c r="AC555" s="1">
        <v>4.15</v>
      </c>
      <c r="AD555" s="1" t="s">
        <v>116</v>
      </c>
      <c r="AE555" s="1"/>
      <c r="AF555" s="1">
        <v>-40.812222</v>
      </c>
      <c r="AG555" s="1">
        <v>-3.849167</v>
      </c>
      <c r="AH555" s="1" t="s">
        <v>2626</v>
      </c>
      <c r="AI555" s="1"/>
      <c r="AJ555" s="1" t="s">
        <v>106</v>
      </c>
      <c r="AK555" s="1"/>
      <c r="AL555" s="1"/>
      <c r="AM555" s="1" t="s">
        <v>65</v>
      </c>
      <c r="AN555" s="1" t="s">
        <v>2589</v>
      </c>
      <c r="AO555" s="1"/>
      <c r="AP555" s="2">
        <v>43945.6094675926</v>
      </c>
      <c r="AQ555" s="1"/>
      <c r="AR555" s="1" t="s">
        <v>2627</v>
      </c>
      <c r="AS555" s="1"/>
      <c r="AT555" s="2">
        <v>44269.931099537</v>
      </c>
    </row>
    <row r="556" ht="13.5" customHeight="1">
      <c r="A556" s="1"/>
      <c r="B556" s="1" t="s">
        <v>46</v>
      </c>
      <c r="C556" s="1" t="s">
        <v>47</v>
      </c>
      <c r="D556" s="1"/>
      <c r="E556" s="1" t="s">
        <v>2628</v>
      </c>
      <c r="F556" s="1"/>
      <c r="G556" s="1" t="s">
        <v>49</v>
      </c>
      <c r="H556" s="1" t="s">
        <v>50</v>
      </c>
      <c r="I556" s="1">
        <v>1500000.0</v>
      </c>
      <c r="J556" s="1"/>
      <c r="K556" s="1" t="s">
        <v>51</v>
      </c>
      <c r="L556" s="1"/>
      <c r="M556" s="1" t="s">
        <v>2629</v>
      </c>
      <c r="N556" s="1" t="s">
        <v>283</v>
      </c>
      <c r="O556" s="1" t="s">
        <v>1133</v>
      </c>
      <c r="P556" s="2">
        <v>43805.6235185185</v>
      </c>
      <c r="Q556" s="1" t="s">
        <v>74</v>
      </c>
      <c r="R556" s="1"/>
      <c r="S556" s="1"/>
      <c r="T556" s="1">
        <v>3302403.0</v>
      </c>
      <c r="U556" s="1" t="s">
        <v>1371</v>
      </c>
      <c r="V556" s="1" t="s">
        <v>287</v>
      </c>
      <c r="W556" s="1" t="s">
        <v>288</v>
      </c>
      <c r="X556" s="1"/>
      <c r="Y556" s="1"/>
      <c r="Z556" s="1" t="s">
        <v>128</v>
      </c>
      <c r="AA556" s="1" t="s">
        <v>289</v>
      </c>
      <c r="AB556" s="1" t="str">
        <f>"33000167000101"</f>
        <v>33000167000101</v>
      </c>
      <c r="AC556" s="1"/>
      <c r="AD556" s="1" t="s">
        <v>149</v>
      </c>
      <c r="AE556" s="1"/>
      <c r="AF556" s="1">
        <v>-40.416946</v>
      </c>
      <c r="AG556" s="1">
        <v>-22.374166</v>
      </c>
      <c r="AH556" s="1" t="s">
        <v>2297</v>
      </c>
      <c r="AI556" s="1"/>
      <c r="AJ556" s="1" t="s">
        <v>172</v>
      </c>
      <c r="AK556" s="1"/>
      <c r="AL556" s="1"/>
      <c r="AM556" s="1" t="s">
        <v>65</v>
      </c>
      <c r="AN556" s="1" t="s">
        <v>720</v>
      </c>
      <c r="AO556" s="1"/>
      <c r="AP556" s="2">
        <v>44013.7202314815</v>
      </c>
      <c r="AQ556" s="1"/>
      <c r="AR556" s="1" t="s">
        <v>1360</v>
      </c>
      <c r="AS556" s="1" t="s">
        <v>1361</v>
      </c>
      <c r="AT556" s="2">
        <v>44269.931099537</v>
      </c>
    </row>
    <row r="557" ht="13.5" customHeight="1">
      <c r="A557" s="1">
        <v>2034532.0</v>
      </c>
      <c r="B557" s="1" t="s">
        <v>67</v>
      </c>
      <c r="C557" s="1" t="s">
        <v>68</v>
      </c>
      <c r="D557" s="1" t="s">
        <v>46</v>
      </c>
      <c r="E557" s="1" t="s">
        <v>2630</v>
      </c>
      <c r="F557" s="1"/>
      <c r="G557" s="1" t="s">
        <v>70</v>
      </c>
      <c r="H557" s="1" t="s">
        <v>93</v>
      </c>
      <c r="I557" s="1">
        <v>3000.0</v>
      </c>
      <c r="J557" s="1"/>
      <c r="K557" s="1"/>
      <c r="L557" s="1" t="s">
        <v>106</v>
      </c>
      <c r="M557" s="1" t="s">
        <v>2631</v>
      </c>
      <c r="N557" s="1" t="s">
        <v>142</v>
      </c>
      <c r="O557" s="1" t="s">
        <v>143</v>
      </c>
      <c r="P557" s="2">
        <v>43805.6152777778</v>
      </c>
      <c r="Q557" s="1" t="s">
        <v>373</v>
      </c>
      <c r="R557" s="1"/>
      <c r="S557" s="1"/>
      <c r="T557" s="1">
        <v>2313609.0</v>
      </c>
      <c r="U557" s="1" t="s">
        <v>2485</v>
      </c>
      <c r="V557" s="1" t="s">
        <v>112</v>
      </c>
      <c r="W557" s="1" t="s">
        <v>113</v>
      </c>
      <c r="X557" s="1"/>
      <c r="Y557" s="1" t="str">
        <f>"02007004104201977"</f>
        <v>02007004104201977</v>
      </c>
      <c r="Z557" s="1" t="s">
        <v>2632</v>
      </c>
      <c r="AA557" s="1" t="s">
        <v>2633</v>
      </c>
      <c r="AB557" s="1" t="str">
        <f>"***319103**"</f>
        <v>***319103**</v>
      </c>
      <c r="AC557" s="1"/>
      <c r="AD557" s="1" t="s">
        <v>116</v>
      </c>
      <c r="AE557" s="1"/>
      <c r="AF557" s="1">
        <v>0.0</v>
      </c>
      <c r="AG557" s="1">
        <v>0.0</v>
      </c>
      <c r="AH557" s="1" t="s">
        <v>1269</v>
      </c>
      <c r="AI557" s="1"/>
      <c r="AJ557" s="1"/>
      <c r="AK557" s="1"/>
      <c r="AL557" s="1" t="s">
        <v>118</v>
      </c>
      <c r="AM557" s="1"/>
      <c r="AN557" s="1"/>
      <c r="AO557" s="2">
        <v>43887.7291087963</v>
      </c>
      <c r="AP557" s="2">
        <v>43887.7291087963</v>
      </c>
      <c r="AQ557" s="1" t="s">
        <v>80</v>
      </c>
      <c r="AR557" s="1" t="s">
        <v>2634</v>
      </c>
      <c r="AS557" s="1" t="s">
        <v>2635</v>
      </c>
      <c r="AT557" s="2">
        <v>44269.931099537</v>
      </c>
    </row>
    <row r="558" ht="13.5" customHeight="1">
      <c r="A558" s="1"/>
      <c r="B558" s="1" t="s">
        <v>46</v>
      </c>
      <c r="C558" s="1" t="s">
        <v>47</v>
      </c>
      <c r="D558" s="1"/>
      <c r="E558" s="1" t="s">
        <v>2636</v>
      </c>
      <c r="F558" s="1"/>
      <c r="G558" s="1" t="s">
        <v>49</v>
      </c>
      <c r="H558" s="1" t="s">
        <v>93</v>
      </c>
      <c r="I558" s="1">
        <v>20000.0</v>
      </c>
      <c r="J558" s="1"/>
      <c r="K558" s="1" t="s">
        <v>51</v>
      </c>
      <c r="L558" s="1"/>
      <c r="M558" s="1" t="s">
        <v>2637</v>
      </c>
      <c r="N558" s="1" t="s">
        <v>142</v>
      </c>
      <c r="O558" s="1" t="s">
        <v>143</v>
      </c>
      <c r="P558" s="2">
        <v>43805.610787037</v>
      </c>
      <c r="Q558" s="1" t="s">
        <v>74</v>
      </c>
      <c r="R558" s="3">
        <v>43808.0</v>
      </c>
      <c r="S558" s="1"/>
      <c r="T558" s="1">
        <v>1100080.0</v>
      </c>
      <c r="U558" s="1" t="s">
        <v>1392</v>
      </c>
      <c r="V558" s="1" t="s">
        <v>448</v>
      </c>
      <c r="W558" s="1" t="s">
        <v>177</v>
      </c>
      <c r="X558" s="1"/>
      <c r="Y558" s="1"/>
      <c r="Z558" s="1" t="s">
        <v>147</v>
      </c>
      <c r="AA558" s="1" t="s">
        <v>2638</v>
      </c>
      <c r="AB558" s="1" t="str">
        <f>"***405902**"</f>
        <v>***405902**</v>
      </c>
      <c r="AC558" s="1"/>
      <c r="AD558" s="1" t="s">
        <v>116</v>
      </c>
      <c r="AE558" s="1"/>
      <c r="AF558" s="1">
        <v>-64.266945</v>
      </c>
      <c r="AG558" s="1">
        <v>-12.373055</v>
      </c>
      <c r="AH558" s="1" t="s">
        <v>2639</v>
      </c>
      <c r="AI558" s="1"/>
      <c r="AJ558" s="1" t="s">
        <v>172</v>
      </c>
      <c r="AK558" s="1"/>
      <c r="AL558" s="1"/>
      <c r="AM558" s="1" t="s">
        <v>65</v>
      </c>
      <c r="AN558" s="1" t="s">
        <v>1395</v>
      </c>
      <c r="AO558" s="1"/>
      <c r="AP558" s="2">
        <v>43805.6184027778</v>
      </c>
      <c r="AQ558" s="1"/>
      <c r="AR558" s="1" t="s">
        <v>793</v>
      </c>
      <c r="AS558" s="1"/>
      <c r="AT558" s="2">
        <v>44269.931099537</v>
      </c>
    </row>
    <row r="559" ht="13.5" customHeight="1">
      <c r="A559" s="1">
        <v>2039243.0</v>
      </c>
      <c r="B559" s="1" t="s">
        <v>67</v>
      </c>
      <c r="C559" s="1" t="s">
        <v>68</v>
      </c>
      <c r="D559" s="1" t="s">
        <v>46</v>
      </c>
      <c r="E559" s="1" t="s">
        <v>2640</v>
      </c>
      <c r="F559" s="1"/>
      <c r="G559" s="1" t="s">
        <v>70</v>
      </c>
      <c r="H559" s="1" t="s">
        <v>50</v>
      </c>
      <c r="I559" s="1">
        <v>20000.0</v>
      </c>
      <c r="J559" s="1"/>
      <c r="K559" s="1"/>
      <c r="L559" s="1" t="s">
        <v>172</v>
      </c>
      <c r="M559" s="1" t="s">
        <v>2641</v>
      </c>
      <c r="N559" s="1" t="s">
        <v>72</v>
      </c>
      <c r="O559" s="1" t="s">
        <v>73</v>
      </c>
      <c r="P559" s="2">
        <v>43805.5833333333</v>
      </c>
      <c r="Q559" s="1" t="s">
        <v>74</v>
      </c>
      <c r="R559" s="1"/>
      <c r="S559" s="1"/>
      <c r="T559" s="1">
        <v>1100080.0</v>
      </c>
      <c r="U559" s="1" t="s">
        <v>1392</v>
      </c>
      <c r="V559" s="1" t="s">
        <v>448</v>
      </c>
      <c r="W559" s="1" t="s">
        <v>177</v>
      </c>
      <c r="X559" s="1"/>
      <c r="Y559" s="1" t="str">
        <f>"02001034935201923"</f>
        <v>02001034935201923</v>
      </c>
      <c r="Z559" s="1" t="s">
        <v>76</v>
      </c>
      <c r="AA559" s="1" t="s">
        <v>2642</v>
      </c>
      <c r="AB559" s="1" t="str">
        <f>"***045812**"</f>
        <v>***045812**</v>
      </c>
      <c r="AC559" s="1"/>
      <c r="AD559" s="1"/>
      <c r="AE559" s="1"/>
      <c r="AF559" s="1">
        <v>-64.067223</v>
      </c>
      <c r="AG559" s="1">
        <v>-12.310555</v>
      </c>
      <c r="AH559" s="1" t="s">
        <v>2643</v>
      </c>
      <c r="AI559" s="1"/>
      <c r="AJ559" s="1" t="s">
        <v>172</v>
      </c>
      <c r="AK559" s="1"/>
      <c r="AL559" s="1" t="s">
        <v>79</v>
      </c>
      <c r="AM559" s="1" t="s">
        <v>65</v>
      </c>
      <c r="AN559" s="1" t="s">
        <v>1395</v>
      </c>
      <c r="AO559" s="2">
        <v>44057.0</v>
      </c>
      <c r="AP559" s="2">
        <v>44057.4719097222</v>
      </c>
      <c r="AQ559" s="1" t="s">
        <v>80</v>
      </c>
      <c r="AR559" s="1" t="s">
        <v>1607</v>
      </c>
      <c r="AS559" s="1"/>
      <c r="AT559" s="2">
        <v>44269.931099537</v>
      </c>
    </row>
    <row r="560" ht="13.5" customHeight="1">
      <c r="A560" s="1"/>
      <c r="B560" s="1" t="s">
        <v>46</v>
      </c>
      <c r="C560" s="1" t="s">
        <v>47</v>
      </c>
      <c r="D560" s="1"/>
      <c r="E560" s="1" t="s">
        <v>2644</v>
      </c>
      <c r="F560" s="1"/>
      <c r="G560" s="1" t="s">
        <v>49</v>
      </c>
      <c r="H560" s="1" t="s">
        <v>50</v>
      </c>
      <c r="I560" s="1">
        <v>100000.0</v>
      </c>
      <c r="J560" s="1"/>
      <c r="K560" s="1" t="s">
        <v>51</v>
      </c>
      <c r="L560" s="1"/>
      <c r="M560" s="1" t="s">
        <v>2645</v>
      </c>
      <c r="N560" s="1" t="s">
        <v>283</v>
      </c>
      <c r="O560" s="1" t="s">
        <v>1133</v>
      </c>
      <c r="P560" s="2">
        <v>43805.580462963</v>
      </c>
      <c r="Q560" s="1" t="s">
        <v>74</v>
      </c>
      <c r="R560" s="1"/>
      <c r="S560" s="1"/>
      <c r="T560" s="1">
        <v>3302403.0</v>
      </c>
      <c r="U560" s="1" t="s">
        <v>1371</v>
      </c>
      <c r="V560" s="1" t="s">
        <v>287</v>
      </c>
      <c r="W560" s="1" t="s">
        <v>288</v>
      </c>
      <c r="X560" s="1"/>
      <c r="Y560" s="1"/>
      <c r="Z560" s="1" t="s">
        <v>128</v>
      </c>
      <c r="AA560" s="1" t="s">
        <v>289</v>
      </c>
      <c r="AB560" s="1" t="str">
        <f t="shared" ref="AB560:AB563" si="26">"33000167000101"</f>
        <v>33000167000101</v>
      </c>
      <c r="AC560" s="1"/>
      <c r="AD560" s="1" t="s">
        <v>149</v>
      </c>
      <c r="AE560" s="1"/>
      <c r="AF560" s="1">
        <v>-40.416946</v>
      </c>
      <c r="AG560" s="1">
        <v>-22.374166</v>
      </c>
      <c r="AH560" s="1" t="s">
        <v>2297</v>
      </c>
      <c r="AI560" s="1"/>
      <c r="AJ560" s="1" t="s">
        <v>172</v>
      </c>
      <c r="AK560" s="1"/>
      <c r="AL560" s="1"/>
      <c r="AM560" s="1" t="s">
        <v>65</v>
      </c>
      <c r="AN560" s="1" t="s">
        <v>720</v>
      </c>
      <c r="AO560" s="1"/>
      <c r="AP560" s="2">
        <v>44013.7203240741</v>
      </c>
      <c r="AQ560" s="1"/>
      <c r="AR560" s="1" t="s">
        <v>1360</v>
      </c>
      <c r="AS560" s="1" t="s">
        <v>2646</v>
      </c>
      <c r="AT560" s="2">
        <v>44269.931099537</v>
      </c>
    </row>
    <row r="561" ht="13.5" customHeight="1">
      <c r="A561" s="1"/>
      <c r="B561" s="1" t="s">
        <v>46</v>
      </c>
      <c r="C561" s="1" t="s">
        <v>47</v>
      </c>
      <c r="D561" s="1"/>
      <c r="E561" s="1" t="s">
        <v>2647</v>
      </c>
      <c r="F561" s="1"/>
      <c r="G561" s="1" t="s">
        <v>49</v>
      </c>
      <c r="H561" s="1" t="s">
        <v>50</v>
      </c>
      <c r="I561" s="1">
        <v>100000.0</v>
      </c>
      <c r="J561" s="1"/>
      <c r="K561" s="1" t="s">
        <v>51</v>
      </c>
      <c r="L561" s="1"/>
      <c r="M561" s="1" t="s">
        <v>2648</v>
      </c>
      <c r="N561" s="1" t="s">
        <v>283</v>
      </c>
      <c r="O561" s="1" t="s">
        <v>1133</v>
      </c>
      <c r="P561" s="2">
        <v>43805.5762152778</v>
      </c>
      <c r="Q561" s="1" t="s">
        <v>74</v>
      </c>
      <c r="R561" s="1"/>
      <c r="S561" s="1"/>
      <c r="T561" s="1">
        <v>3302403.0</v>
      </c>
      <c r="U561" s="1" t="s">
        <v>1371</v>
      </c>
      <c r="V561" s="1" t="s">
        <v>287</v>
      </c>
      <c r="W561" s="1" t="s">
        <v>288</v>
      </c>
      <c r="X561" s="1"/>
      <c r="Y561" s="1"/>
      <c r="Z561" s="1" t="s">
        <v>128</v>
      </c>
      <c r="AA561" s="1" t="s">
        <v>289</v>
      </c>
      <c r="AB561" s="1" t="str">
        <f t="shared" si="26"/>
        <v>33000167000101</v>
      </c>
      <c r="AC561" s="1"/>
      <c r="AD561" s="1" t="s">
        <v>149</v>
      </c>
      <c r="AE561" s="1"/>
      <c r="AF561" s="1">
        <v>-40.416946</v>
      </c>
      <c r="AG561" s="1">
        <v>-22.374166</v>
      </c>
      <c r="AH561" s="1" t="s">
        <v>2297</v>
      </c>
      <c r="AI561" s="1"/>
      <c r="AJ561" s="1" t="s">
        <v>172</v>
      </c>
      <c r="AK561" s="1"/>
      <c r="AL561" s="1"/>
      <c r="AM561" s="1" t="s">
        <v>65</v>
      </c>
      <c r="AN561" s="1" t="s">
        <v>720</v>
      </c>
      <c r="AO561" s="1"/>
      <c r="AP561" s="2">
        <v>44013.7204166667</v>
      </c>
      <c r="AQ561" s="1"/>
      <c r="AR561" s="1" t="s">
        <v>1360</v>
      </c>
      <c r="AS561" s="1"/>
      <c r="AT561" s="2">
        <v>44269.931099537</v>
      </c>
    </row>
    <row r="562" ht="13.5" customHeight="1">
      <c r="A562" s="1"/>
      <c r="B562" s="1" t="s">
        <v>46</v>
      </c>
      <c r="C562" s="1" t="s">
        <v>47</v>
      </c>
      <c r="D562" s="1"/>
      <c r="E562" s="1" t="s">
        <v>2649</v>
      </c>
      <c r="F562" s="1"/>
      <c r="G562" s="1" t="s">
        <v>49</v>
      </c>
      <c r="H562" s="1" t="s">
        <v>50</v>
      </c>
      <c r="I562" s="1">
        <v>1.18E7</v>
      </c>
      <c r="J562" s="1"/>
      <c r="K562" s="1" t="s">
        <v>51</v>
      </c>
      <c r="L562" s="1"/>
      <c r="M562" s="1" t="s">
        <v>2650</v>
      </c>
      <c r="N562" s="1" t="s">
        <v>283</v>
      </c>
      <c r="O562" s="1" t="s">
        <v>1133</v>
      </c>
      <c r="P562" s="2">
        <v>43805.5647685185</v>
      </c>
      <c r="Q562" s="1" t="s">
        <v>74</v>
      </c>
      <c r="R562" s="1"/>
      <c r="S562" s="1"/>
      <c r="T562" s="1">
        <v>3302403.0</v>
      </c>
      <c r="U562" s="1" t="s">
        <v>1371</v>
      </c>
      <c r="V562" s="1" t="s">
        <v>287</v>
      </c>
      <c r="W562" s="1" t="s">
        <v>288</v>
      </c>
      <c r="X562" s="1"/>
      <c r="Y562" s="1"/>
      <c r="Z562" s="1" t="s">
        <v>128</v>
      </c>
      <c r="AA562" s="1" t="s">
        <v>289</v>
      </c>
      <c r="AB562" s="1" t="str">
        <f t="shared" si="26"/>
        <v>33000167000101</v>
      </c>
      <c r="AC562" s="1"/>
      <c r="AD562" s="1" t="s">
        <v>149</v>
      </c>
      <c r="AE562" s="1"/>
      <c r="AF562" s="1">
        <v>-40.419167</v>
      </c>
      <c r="AG562" s="1">
        <v>-22.373333</v>
      </c>
      <c r="AH562" s="1" t="s">
        <v>2297</v>
      </c>
      <c r="AI562" s="1"/>
      <c r="AJ562" s="1" t="s">
        <v>172</v>
      </c>
      <c r="AK562" s="1"/>
      <c r="AL562" s="1"/>
      <c r="AM562" s="1" t="s">
        <v>65</v>
      </c>
      <c r="AN562" s="1" t="s">
        <v>720</v>
      </c>
      <c r="AO562" s="1"/>
      <c r="AP562" s="2">
        <v>44013.7205902778</v>
      </c>
      <c r="AQ562" s="1"/>
      <c r="AR562" s="1" t="s">
        <v>1360</v>
      </c>
      <c r="AS562" s="1" t="s">
        <v>1361</v>
      </c>
      <c r="AT562" s="2">
        <v>44269.931099537</v>
      </c>
    </row>
    <row r="563" ht="13.5" customHeight="1">
      <c r="A563" s="1"/>
      <c r="B563" s="1" t="s">
        <v>46</v>
      </c>
      <c r="C563" s="1" t="s">
        <v>47</v>
      </c>
      <c r="D563" s="1"/>
      <c r="E563" s="1" t="s">
        <v>2651</v>
      </c>
      <c r="F563" s="1"/>
      <c r="G563" s="1" t="s">
        <v>49</v>
      </c>
      <c r="H563" s="1" t="s">
        <v>50</v>
      </c>
      <c r="I563" s="1">
        <v>700000.0</v>
      </c>
      <c r="J563" s="1"/>
      <c r="K563" s="1" t="s">
        <v>51</v>
      </c>
      <c r="L563" s="1"/>
      <c r="M563" s="1" t="s">
        <v>2652</v>
      </c>
      <c r="N563" s="1" t="s">
        <v>283</v>
      </c>
      <c r="O563" s="1" t="s">
        <v>1133</v>
      </c>
      <c r="P563" s="2">
        <v>43805.5570949074</v>
      </c>
      <c r="Q563" s="1" t="s">
        <v>74</v>
      </c>
      <c r="R563" s="1"/>
      <c r="S563" s="1"/>
      <c r="T563" s="1">
        <v>3302403.0</v>
      </c>
      <c r="U563" s="1" t="s">
        <v>1371</v>
      </c>
      <c r="V563" s="1" t="s">
        <v>287</v>
      </c>
      <c r="W563" s="1" t="s">
        <v>288</v>
      </c>
      <c r="X563" s="1"/>
      <c r="Y563" s="1"/>
      <c r="Z563" s="1" t="s">
        <v>128</v>
      </c>
      <c r="AA563" s="1" t="s">
        <v>289</v>
      </c>
      <c r="AB563" s="1" t="str">
        <f t="shared" si="26"/>
        <v>33000167000101</v>
      </c>
      <c r="AC563" s="1"/>
      <c r="AD563" s="1" t="s">
        <v>149</v>
      </c>
      <c r="AE563" s="1"/>
      <c r="AF563" s="1">
        <v>-40.419167</v>
      </c>
      <c r="AG563" s="1">
        <v>-22.373333</v>
      </c>
      <c r="AH563" s="1" t="s">
        <v>2297</v>
      </c>
      <c r="AI563" s="1"/>
      <c r="AJ563" s="1" t="s">
        <v>172</v>
      </c>
      <c r="AK563" s="1"/>
      <c r="AL563" s="1"/>
      <c r="AM563" s="1" t="s">
        <v>65</v>
      </c>
      <c r="AN563" s="1" t="s">
        <v>720</v>
      </c>
      <c r="AO563" s="1"/>
      <c r="AP563" s="2">
        <v>44013.7206828704</v>
      </c>
      <c r="AQ563" s="1"/>
      <c r="AR563" s="1" t="s">
        <v>1360</v>
      </c>
      <c r="AS563" s="1" t="s">
        <v>1361</v>
      </c>
      <c r="AT563" s="2">
        <v>44269.931099537</v>
      </c>
    </row>
    <row r="564" ht="13.5" customHeight="1">
      <c r="A564" s="1"/>
      <c r="B564" s="1" t="s">
        <v>46</v>
      </c>
      <c r="C564" s="1" t="s">
        <v>47</v>
      </c>
      <c r="D564" s="1"/>
      <c r="E564" s="1" t="s">
        <v>2653</v>
      </c>
      <c r="F564" s="1"/>
      <c r="G564" s="1" t="s">
        <v>49</v>
      </c>
      <c r="H564" s="1" t="s">
        <v>50</v>
      </c>
      <c r="I564" s="1">
        <v>100000.0</v>
      </c>
      <c r="J564" s="1"/>
      <c r="K564" s="1" t="s">
        <v>51</v>
      </c>
      <c r="L564" s="1"/>
      <c r="M564" s="1" t="s">
        <v>2654</v>
      </c>
      <c r="N564" s="1" t="s">
        <v>283</v>
      </c>
      <c r="O564" s="1" t="s">
        <v>1133</v>
      </c>
      <c r="P564" s="2">
        <v>43805.5550231482</v>
      </c>
      <c r="Q564" s="1" t="s">
        <v>74</v>
      </c>
      <c r="R564" s="1"/>
      <c r="S564" s="1"/>
      <c r="T564" s="1">
        <v>3302403.0</v>
      </c>
      <c r="U564" s="1" t="s">
        <v>1371</v>
      </c>
      <c r="V564" s="1" t="s">
        <v>287</v>
      </c>
      <c r="W564" s="1" t="s">
        <v>288</v>
      </c>
      <c r="X564" s="1"/>
      <c r="Y564" s="1"/>
      <c r="Z564" s="1" t="s">
        <v>128</v>
      </c>
      <c r="AA564" s="1" t="s">
        <v>1449</v>
      </c>
      <c r="AB564" s="1" t="str">
        <f t="shared" ref="AB564:AB565" si="27">"33000167100750"</f>
        <v>33000167100750</v>
      </c>
      <c r="AC564" s="1"/>
      <c r="AD564" s="1" t="s">
        <v>149</v>
      </c>
      <c r="AE564" s="1"/>
      <c r="AF564" s="1">
        <v>-40.331665</v>
      </c>
      <c r="AG564" s="1">
        <v>-22.254168</v>
      </c>
      <c r="AH564" s="1" t="s">
        <v>2130</v>
      </c>
      <c r="AI564" s="1"/>
      <c r="AJ564" s="1" t="s">
        <v>172</v>
      </c>
      <c r="AK564" s="1"/>
      <c r="AL564" s="1"/>
      <c r="AM564" s="1" t="s">
        <v>65</v>
      </c>
      <c r="AN564" s="1" t="s">
        <v>720</v>
      </c>
      <c r="AO564" s="1"/>
      <c r="AP564" s="2">
        <v>44013.720775463</v>
      </c>
      <c r="AQ564" s="1"/>
      <c r="AR564" s="1" t="s">
        <v>1360</v>
      </c>
      <c r="AS564" s="1" t="s">
        <v>1361</v>
      </c>
      <c r="AT564" s="2">
        <v>44269.931099537</v>
      </c>
    </row>
    <row r="565" ht="13.5" customHeight="1">
      <c r="A565" s="1"/>
      <c r="B565" s="1" t="s">
        <v>46</v>
      </c>
      <c r="C565" s="1" t="s">
        <v>47</v>
      </c>
      <c r="D565" s="1"/>
      <c r="E565" s="1" t="s">
        <v>2655</v>
      </c>
      <c r="F565" s="1"/>
      <c r="G565" s="1" t="s">
        <v>49</v>
      </c>
      <c r="H565" s="1" t="s">
        <v>50</v>
      </c>
      <c r="I565" s="1">
        <v>100000.0</v>
      </c>
      <c r="J565" s="1"/>
      <c r="K565" s="1" t="s">
        <v>51</v>
      </c>
      <c r="L565" s="1"/>
      <c r="M565" s="1" t="s">
        <v>2656</v>
      </c>
      <c r="N565" s="1" t="s">
        <v>283</v>
      </c>
      <c r="O565" s="1" t="s">
        <v>1133</v>
      </c>
      <c r="P565" s="2">
        <v>43805.5475810185</v>
      </c>
      <c r="Q565" s="1" t="s">
        <v>74</v>
      </c>
      <c r="R565" s="1"/>
      <c r="S565" s="1"/>
      <c r="T565" s="1">
        <v>3302403.0</v>
      </c>
      <c r="U565" s="1" t="s">
        <v>1371</v>
      </c>
      <c r="V565" s="1" t="s">
        <v>287</v>
      </c>
      <c r="W565" s="1" t="s">
        <v>288</v>
      </c>
      <c r="X565" s="1"/>
      <c r="Y565" s="1"/>
      <c r="Z565" s="1" t="s">
        <v>128</v>
      </c>
      <c r="AA565" s="1" t="s">
        <v>1449</v>
      </c>
      <c r="AB565" s="1" t="str">
        <f t="shared" si="27"/>
        <v>33000167100750</v>
      </c>
      <c r="AC565" s="1"/>
      <c r="AD565" s="1" t="s">
        <v>149</v>
      </c>
      <c r="AE565" s="1"/>
      <c r="AF565" s="1">
        <v>-40.331665</v>
      </c>
      <c r="AG565" s="1">
        <v>-22.254168</v>
      </c>
      <c r="AH565" s="1" t="s">
        <v>2130</v>
      </c>
      <c r="AI565" s="1"/>
      <c r="AJ565" s="1" t="s">
        <v>172</v>
      </c>
      <c r="AK565" s="1"/>
      <c r="AL565" s="1"/>
      <c r="AM565" s="1" t="s">
        <v>65</v>
      </c>
      <c r="AN565" s="1" t="s">
        <v>720</v>
      </c>
      <c r="AO565" s="1"/>
      <c r="AP565" s="2">
        <v>44013.7208564815</v>
      </c>
      <c r="AQ565" s="1"/>
      <c r="AR565" s="1" t="s">
        <v>1360</v>
      </c>
      <c r="AS565" s="1" t="s">
        <v>1361</v>
      </c>
      <c r="AT565" s="2">
        <v>44269.931099537</v>
      </c>
    </row>
    <row r="566" ht="13.5" customHeight="1">
      <c r="A566" s="1">
        <v>2035991.0</v>
      </c>
      <c r="B566" s="1" t="s">
        <v>67</v>
      </c>
      <c r="C566" s="1" t="s">
        <v>68</v>
      </c>
      <c r="D566" s="1" t="s">
        <v>46</v>
      </c>
      <c r="E566" s="1" t="s">
        <v>2657</v>
      </c>
      <c r="F566" s="1"/>
      <c r="G566" s="1" t="s">
        <v>70</v>
      </c>
      <c r="H566" s="1" t="s">
        <v>50</v>
      </c>
      <c r="I566" s="1">
        <v>20000.0</v>
      </c>
      <c r="J566" s="1"/>
      <c r="K566" s="1"/>
      <c r="L566" s="1" t="s">
        <v>172</v>
      </c>
      <c r="M566" s="1" t="s">
        <v>2658</v>
      </c>
      <c r="N566" s="1" t="s">
        <v>72</v>
      </c>
      <c r="O566" s="1" t="s">
        <v>73</v>
      </c>
      <c r="P566" s="2">
        <v>43805.5416666667</v>
      </c>
      <c r="Q566" s="1" t="s">
        <v>74</v>
      </c>
      <c r="R566" s="3">
        <v>43805.0</v>
      </c>
      <c r="S566" s="1"/>
      <c r="T566" s="1">
        <v>1100080.0</v>
      </c>
      <c r="U566" s="1" t="s">
        <v>1392</v>
      </c>
      <c r="V566" s="1" t="s">
        <v>448</v>
      </c>
      <c r="W566" s="1" t="s">
        <v>177</v>
      </c>
      <c r="X566" s="1"/>
      <c r="Y566" s="1" t="str">
        <f>"02001009359202010"</f>
        <v>02001009359202010</v>
      </c>
      <c r="Z566" s="1" t="s">
        <v>76</v>
      </c>
      <c r="AA566" s="1" t="s">
        <v>2659</v>
      </c>
      <c r="AB566" s="1" t="str">
        <f>"***959139**"</f>
        <v>***959139**</v>
      </c>
      <c r="AC566" s="1"/>
      <c r="AD566" s="1"/>
      <c r="AE566" s="1"/>
      <c r="AF566" s="1">
        <v>-64.093895</v>
      </c>
      <c r="AG566" s="1">
        <v>-12.354445</v>
      </c>
      <c r="AH566" s="1" t="s">
        <v>2660</v>
      </c>
      <c r="AI566" s="1"/>
      <c r="AJ566" s="1" t="s">
        <v>172</v>
      </c>
      <c r="AK566" s="1"/>
      <c r="AL566" s="1" t="s">
        <v>79</v>
      </c>
      <c r="AM566" s="1" t="s">
        <v>65</v>
      </c>
      <c r="AN566" s="1" t="s">
        <v>1395</v>
      </c>
      <c r="AO566" s="2">
        <v>43923.0</v>
      </c>
      <c r="AP566" s="2">
        <v>43923.7024421296</v>
      </c>
      <c r="AQ566" s="1" t="s">
        <v>80</v>
      </c>
      <c r="AR566" s="1" t="s">
        <v>1607</v>
      </c>
      <c r="AS566" s="1"/>
      <c r="AT566" s="2">
        <v>44269.931099537</v>
      </c>
    </row>
    <row r="567" ht="13.5" customHeight="1">
      <c r="A567" s="1">
        <v>2034470.0</v>
      </c>
      <c r="B567" s="1" t="s">
        <v>67</v>
      </c>
      <c r="C567" s="1" t="s">
        <v>68</v>
      </c>
      <c r="D567" s="1" t="s">
        <v>46</v>
      </c>
      <c r="E567" s="1" t="s">
        <v>2661</v>
      </c>
      <c r="F567" s="1"/>
      <c r="G567" s="1" t="s">
        <v>70</v>
      </c>
      <c r="H567" s="1" t="s">
        <v>93</v>
      </c>
      <c r="I567" s="1">
        <v>13000.0</v>
      </c>
      <c r="J567" s="1"/>
      <c r="K567" s="1"/>
      <c r="L567" s="1" t="s">
        <v>106</v>
      </c>
      <c r="M567" s="1" t="s">
        <v>2662</v>
      </c>
      <c r="N567" s="1" t="s">
        <v>95</v>
      </c>
      <c r="O567" s="1" t="s">
        <v>96</v>
      </c>
      <c r="P567" s="2">
        <v>43805.5354166667</v>
      </c>
      <c r="Q567" s="1" t="s">
        <v>2484</v>
      </c>
      <c r="R567" s="1"/>
      <c r="S567" s="1"/>
      <c r="T567" s="1">
        <v>2313609.0</v>
      </c>
      <c r="U567" s="1" t="s">
        <v>2485</v>
      </c>
      <c r="V567" s="1" t="s">
        <v>112</v>
      </c>
      <c r="W567" s="1" t="s">
        <v>113</v>
      </c>
      <c r="X567" s="1"/>
      <c r="Y567" s="1" t="str">
        <f>"02007004074201907"</f>
        <v>02007004074201907</v>
      </c>
      <c r="Z567" s="1" t="s">
        <v>1267</v>
      </c>
      <c r="AA567" s="1" t="s">
        <v>2663</v>
      </c>
      <c r="AB567" s="1" t="str">
        <f>"***753853**"</f>
        <v>***753853**</v>
      </c>
      <c r="AC567" s="1"/>
      <c r="AD567" s="1" t="s">
        <v>116</v>
      </c>
      <c r="AE567" s="1"/>
      <c r="AF567" s="1">
        <v>0.0</v>
      </c>
      <c r="AG567" s="1">
        <v>0.0</v>
      </c>
      <c r="AH567" s="1" t="s">
        <v>1269</v>
      </c>
      <c r="AI567" s="1"/>
      <c r="AJ567" s="1"/>
      <c r="AK567" s="1"/>
      <c r="AL567" s="1" t="s">
        <v>118</v>
      </c>
      <c r="AM567" s="1"/>
      <c r="AN567" s="1"/>
      <c r="AO567" s="2">
        <v>43873.7342013889</v>
      </c>
      <c r="AP567" s="2">
        <v>43873.7342013889</v>
      </c>
      <c r="AQ567" s="1" t="s">
        <v>80</v>
      </c>
      <c r="AR567" s="1" t="s">
        <v>2059</v>
      </c>
      <c r="AS567" s="1"/>
      <c r="AT567" s="2">
        <v>44269.931099537</v>
      </c>
    </row>
    <row r="568" ht="13.5" customHeight="1">
      <c r="A568" s="1"/>
      <c r="B568" s="1" t="s">
        <v>46</v>
      </c>
      <c r="C568" s="1" t="s">
        <v>47</v>
      </c>
      <c r="D568" s="1"/>
      <c r="E568" s="1" t="s">
        <v>2664</v>
      </c>
      <c r="F568" s="1"/>
      <c r="G568" s="1" t="s">
        <v>49</v>
      </c>
      <c r="H568" s="1" t="s">
        <v>50</v>
      </c>
      <c r="I568" s="1">
        <v>100000.0</v>
      </c>
      <c r="J568" s="1"/>
      <c r="K568" s="1" t="s">
        <v>51</v>
      </c>
      <c r="L568" s="1"/>
      <c r="M568" s="1"/>
      <c r="N568" s="1" t="s">
        <v>283</v>
      </c>
      <c r="O568" s="1" t="s">
        <v>1133</v>
      </c>
      <c r="P568" s="2">
        <v>43805.519375</v>
      </c>
      <c r="Q568" s="1" t="s">
        <v>74</v>
      </c>
      <c r="R568" s="3">
        <v>43805.0</v>
      </c>
      <c r="S568" s="1"/>
      <c r="T568" s="1">
        <v>3302403.0</v>
      </c>
      <c r="U568" s="1" t="s">
        <v>1371</v>
      </c>
      <c r="V568" s="1" t="s">
        <v>287</v>
      </c>
      <c r="W568" s="1" t="s">
        <v>288</v>
      </c>
      <c r="X568" s="1"/>
      <c r="Y568" s="1"/>
      <c r="Z568" s="1" t="s">
        <v>128</v>
      </c>
      <c r="AA568" s="1" t="s">
        <v>1449</v>
      </c>
      <c r="AB568" s="1" t="str">
        <f>"33000167100750"</f>
        <v>33000167100750</v>
      </c>
      <c r="AC568" s="1"/>
      <c r="AD568" s="1" t="s">
        <v>149</v>
      </c>
      <c r="AE568" s="1"/>
      <c r="AF568" s="1">
        <v>-40.481945</v>
      </c>
      <c r="AG568" s="1">
        <v>-22.431665</v>
      </c>
      <c r="AH568" s="1" t="s">
        <v>1527</v>
      </c>
      <c r="AI568" s="1"/>
      <c r="AJ568" s="1" t="s">
        <v>172</v>
      </c>
      <c r="AK568" s="1"/>
      <c r="AL568" s="1"/>
      <c r="AM568" s="1" t="s">
        <v>65</v>
      </c>
      <c r="AN568" s="1" t="s">
        <v>720</v>
      </c>
      <c r="AO568" s="1"/>
      <c r="AP568" s="2">
        <v>44013.7209490741</v>
      </c>
      <c r="AQ568" s="1"/>
      <c r="AR568" s="1" t="s">
        <v>1360</v>
      </c>
      <c r="AS568" s="1" t="s">
        <v>1361</v>
      </c>
      <c r="AT568" s="2">
        <v>44269.931099537</v>
      </c>
    </row>
    <row r="569" ht="13.5" customHeight="1">
      <c r="A569" s="1"/>
      <c r="B569" s="1" t="s">
        <v>46</v>
      </c>
      <c r="C569" s="1" t="s">
        <v>47</v>
      </c>
      <c r="D569" s="1"/>
      <c r="E569" s="1" t="s">
        <v>2665</v>
      </c>
      <c r="F569" s="1"/>
      <c r="G569" s="1" t="s">
        <v>49</v>
      </c>
      <c r="H569" s="1" t="s">
        <v>50</v>
      </c>
      <c r="I569" s="1">
        <v>50500.0</v>
      </c>
      <c r="J569" s="1"/>
      <c r="K569" s="1" t="s">
        <v>51</v>
      </c>
      <c r="L569" s="1"/>
      <c r="M569" s="1" t="s">
        <v>2666</v>
      </c>
      <c r="N569" s="1" t="s">
        <v>212</v>
      </c>
      <c r="O569" s="1" t="s">
        <v>213</v>
      </c>
      <c r="P569" s="2">
        <v>43805.4947106482</v>
      </c>
      <c r="Q569" s="1" t="s">
        <v>74</v>
      </c>
      <c r="R569" s="1"/>
      <c r="S569" s="1"/>
      <c r="T569" s="1">
        <v>5300108.0</v>
      </c>
      <c r="U569" s="1" t="s">
        <v>1541</v>
      </c>
      <c r="V569" s="1" t="s">
        <v>1542</v>
      </c>
      <c r="W569" s="1" t="s">
        <v>288</v>
      </c>
      <c r="X569" s="1"/>
      <c r="Y569" s="1"/>
      <c r="Z569" s="1" t="s">
        <v>215</v>
      </c>
      <c r="AA569" s="1" t="s">
        <v>2667</v>
      </c>
      <c r="AB569" s="1" t="str">
        <f>"02461767000143"</f>
        <v>02461767000143</v>
      </c>
      <c r="AC569" s="1"/>
      <c r="AD569" s="1" t="s">
        <v>149</v>
      </c>
      <c r="AE569" s="1"/>
      <c r="AF569" s="1">
        <v>-47.861942</v>
      </c>
      <c r="AG569" s="1">
        <v>-15.767222</v>
      </c>
      <c r="AH569" s="1" t="s">
        <v>2450</v>
      </c>
      <c r="AI569" s="1"/>
      <c r="AJ569" s="1" t="s">
        <v>172</v>
      </c>
      <c r="AK569" s="1"/>
      <c r="AL569" s="1"/>
      <c r="AM569" s="1" t="s">
        <v>65</v>
      </c>
      <c r="AN569" s="1" t="s">
        <v>720</v>
      </c>
      <c r="AO569" s="1"/>
      <c r="AP569" s="2">
        <v>43805.5013425926</v>
      </c>
      <c r="AQ569" s="1"/>
      <c r="AR569" s="1" t="s">
        <v>721</v>
      </c>
      <c r="AS569" s="1" t="s">
        <v>2668</v>
      </c>
      <c r="AT569" s="2">
        <v>44269.931099537</v>
      </c>
    </row>
    <row r="570" ht="13.5" customHeight="1">
      <c r="A570" s="1"/>
      <c r="B570" s="1" t="s">
        <v>46</v>
      </c>
      <c r="C570" s="1" t="s">
        <v>47</v>
      </c>
      <c r="D570" s="1"/>
      <c r="E570" s="1" t="s">
        <v>2669</v>
      </c>
      <c r="F570" s="1"/>
      <c r="G570" s="1" t="s">
        <v>49</v>
      </c>
      <c r="H570" s="1" t="s">
        <v>93</v>
      </c>
      <c r="I570" s="1">
        <v>85000.0</v>
      </c>
      <c r="J570" s="1"/>
      <c r="K570" s="1" t="s">
        <v>51</v>
      </c>
      <c r="L570" s="1"/>
      <c r="M570" s="1" t="s">
        <v>2670</v>
      </c>
      <c r="N570" s="1" t="s">
        <v>977</v>
      </c>
      <c r="O570" s="1" t="s">
        <v>978</v>
      </c>
      <c r="P570" s="2">
        <v>43805.4858217593</v>
      </c>
      <c r="Q570" s="1" t="s">
        <v>74</v>
      </c>
      <c r="R570" s="1"/>
      <c r="S570" s="1"/>
      <c r="T570" s="1">
        <v>4314902.0</v>
      </c>
      <c r="U570" s="1" t="s">
        <v>2671</v>
      </c>
      <c r="V570" s="1" t="s">
        <v>145</v>
      </c>
      <c r="W570" s="1" t="s">
        <v>146</v>
      </c>
      <c r="X570" s="1"/>
      <c r="Y570" s="1"/>
      <c r="Z570" s="1" t="s">
        <v>980</v>
      </c>
      <c r="AA570" s="1" t="s">
        <v>2672</v>
      </c>
      <c r="AB570" s="1" t="str">
        <f>"90050097000130"</f>
        <v>90050097000130</v>
      </c>
      <c r="AC570" s="1"/>
      <c r="AD570" s="1" t="s">
        <v>149</v>
      </c>
      <c r="AE570" s="1"/>
      <c r="AF570" s="1">
        <v>-51.187775</v>
      </c>
      <c r="AG570" s="1">
        <v>-30.113611</v>
      </c>
      <c r="AH570" s="1" t="s">
        <v>2672</v>
      </c>
      <c r="AI570" s="1"/>
      <c r="AJ570" s="1" t="s">
        <v>172</v>
      </c>
      <c r="AK570" s="1"/>
      <c r="AL570" s="1"/>
      <c r="AM570" s="1" t="s">
        <v>65</v>
      </c>
      <c r="AN570" s="1" t="s">
        <v>983</v>
      </c>
      <c r="AO570" s="1"/>
      <c r="AP570" s="2">
        <v>43992.5383912037</v>
      </c>
      <c r="AQ570" s="1"/>
      <c r="AR570" s="1" t="s">
        <v>984</v>
      </c>
      <c r="AS570" s="1" t="s">
        <v>2673</v>
      </c>
      <c r="AT570" s="2">
        <v>44269.931099537</v>
      </c>
    </row>
    <row r="571" ht="13.5" customHeight="1">
      <c r="A571" s="1"/>
      <c r="B571" s="1" t="s">
        <v>46</v>
      </c>
      <c r="C571" s="1" t="s">
        <v>47</v>
      </c>
      <c r="D571" s="1"/>
      <c r="E571" s="1" t="s">
        <v>2674</v>
      </c>
      <c r="F571" s="1"/>
      <c r="G571" s="1" t="s">
        <v>49</v>
      </c>
      <c r="H571" s="1" t="s">
        <v>50</v>
      </c>
      <c r="I571" s="1">
        <v>100000.0</v>
      </c>
      <c r="J571" s="1"/>
      <c r="K571" s="1" t="s">
        <v>51</v>
      </c>
      <c r="L571" s="1"/>
      <c r="M571" s="1" t="s">
        <v>2675</v>
      </c>
      <c r="N571" s="1" t="s">
        <v>283</v>
      </c>
      <c r="O571" s="1" t="s">
        <v>1133</v>
      </c>
      <c r="P571" s="2">
        <v>43805.4796064815</v>
      </c>
      <c r="Q571" s="1" t="s">
        <v>74</v>
      </c>
      <c r="R571" s="1"/>
      <c r="S571" s="1"/>
      <c r="T571" s="1">
        <v>3204302.0</v>
      </c>
      <c r="U571" s="1" t="s">
        <v>1380</v>
      </c>
      <c r="V571" s="1" t="s">
        <v>403</v>
      </c>
      <c r="W571" s="1" t="s">
        <v>288</v>
      </c>
      <c r="X571" s="1"/>
      <c r="Y571" s="1"/>
      <c r="Z571" s="1" t="s">
        <v>128</v>
      </c>
      <c r="AA571" s="1" t="s">
        <v>289</v>
      </c>
      <c r="AB571" s="1" t="str">
        <f>"33000167000101"</f>
        <v>33000167000101</v>
      </c>
      <c r="AC571" s="1"/>
      <c r="AD571" s="1" t="s">
        <v>149</v>
      </c>
      <c r="AE571" s="1"/>
      <c r="AF571" s="1">
        <v>-40.045277</v>
      </c>
      <c r="AG571" s="1">
        <v>-21.242779</v>
      </c>
      <c r="AH571" s="1" t="s">
        <v>2676</v>
      </c>
      <c r="AI571" s="1"/>
      <c r="AJ571" s="1" t="s">
        <v>172</v>
      </c>
      <c r="AK571" s="1"/>
      <c r="AL571" s="1"/>
      <c r="AM571" s="1" t="s">
        <v>65</v>
      </c>
      <c r="AN571" s="1" t="s">
        <v>720</v>
      </c>
      <c r="AO571" s="1"/>
      <c r="AP571" s="2">
        <v>44013.7210416667</v>
      </c>
      <c r="AQ571" s="1"/>
      <c r="AR571" s="1" t="s">
        <v>1360</v>
      </c>
      <c r="AS571" s="1" t="s">
        <v>1361</v>
      </c>
      <c r="AT571" s="2">
        <v>44269.931099537</v>
      </c>
    </row>
    <row r="572" ht="13.5" customHeight="1">
      <c r="A572" s="1"/>
      <c r="B572" s="1" t="s">
        <v>46</v>
      </c>
      <c r="C572" s="1" t="s">
        <v>47</v>
      </c>
      <c r="D572" s="1"/>
      <c r="E572" s="1" t="s">
        <v>2677</v>
      </c>
      <c r="F572" s="1"/>
      <c r="G572" s="1" t="s">
        <v>49</v>
      </c>
      <c r="H572" s="1" t="s">
        <v>50</v>
      </c>
      <c r="I572" s="1">
        <v>325000.0</v>
      </c>
      <c r="J572" s="1"/>
      <c r="K572" s="1" t="s">
        <v>140</v>
      </c>
      <c r="L572" s="1"/>
      <c r="M572" s="1" t="s">
        <v>2381</v>
      </c>
      <c r="N572" s="1" t="s">
        <v>977</v>
      </c>
      <c r="O572" s="1" t="s">
        <v>978</v>
      </c>
      <c r="P572" s="2">
        <v>43805.4776388889</v>
      </c>
      <c r="Q572" s="1" t="s">
        <v>74</v>
      </c>
      <c r="R572" s="1"/>
      <c r="S572" s="1"/>
      <c r="T572" s="1">
        <v>3550308.0</v>
      </c>
      <c r="U572" s="1" t="s">
        <v>607</v>
      </c>
      <c r="V572" s="1" t="s">
        <v>58</v>
      </c>
      <c r="W572" s="1" t="s">
        <v>59</v>
      </c>
      <c r="X572" s="1"/>
      <c r="Y572" s="1"/>
      <c r="Z572" s="1" t="s">
        <v>980</v>
      </c>
      <c r="AA572" s="1" t="s">
        <v>2678</v>
      </c>
      <c r="AB572" s="1" t="str">
        <f>"58805466000144"</f>
        <v>58805466000144</v>
      </c>
      <c r="AC572" s="1"/>
      <c r="AD572" s="1" t="s">
        <v>149</v>
      </c>
      <c r="AE572" s="1"/>
      <c r="AF572" s="1">
        <v>-46.724167</v>
      </c>
      <c r="AG572" s="1">
        <v>-23.555834</v>
      </c>
      <c r="AH572" s="1" t="s">
        <v>982</v>
      </c>
      <c r="AI572" s="1"/>
      <c r="AJ572" s="1" t="s">
        <v>172</v>
      </c>
      <c r="AK572" s="1"/>
      <c r="AL572" s="1"/>
      <c r="AM572" s="1" t="s">
        <v>65</v>
      </c>
      <c r="AN572" s="1" t="s">
        <v>983</v>
      </c>
      <c r="AO572" s="1"/>
      <c r="AP572" s="2">
        <v>44008.7395138889</v>
      </c>
      <c r="AQ572" s="1"/>
      <c r="AR572" s="1" t="s">
        <v>984</v>
      </c>
      <c r="AS572" s="1" t="s">
        <v>2383</v>
      </c>
      <c r="AT572" s="2">
        <v>44269.931099537</v>
      </c>
    </row>
    <row r="573" ht="13.5" customHeight="1">
      <c r="A573" s="1">
        <v>2035103.0</v>
      </c>
      <c r="B573" s="1" t="s">
        <v>67</v>
      </c>
      <c r="C573" s="1" t="s">
        <v>68</v>
      </c>
      <c r="D573" s="1" t="s">
        <v>46</v>
      </c>
      <c r="E573" s="1" t="s">
        <v>2679</v>
      </c>
      <c r="F573" s="1"/>
      <c r="G573" s="1" t="s">
        <v>70</v>
      </c>
      <c r="H573" s="1" t="s">
        <v>93</v>
      </c>
      <c r="I573" s="1">
        <v>2160000.0</v>
      </c>
      <c r="J573" s="1"/>
      <c r="K573" s="1"/>
      <c r="L573" s="1" t="s">
        <v>172</v>
      </c>
      <c r="M573" s="1" t="s">
        <v>2680</v>
      </c>
      <c r="N573" s="1" t="s">
        <v>142</v>
      </c>
      <c r="O573" s="1" t="s">
        <v>143</v>
      </c>
      <c r="P573" s="2">
        <v>43805.4583333333</v>
      </c>
      <c r="Q573" s="1" t="s">
        <v>373</v>
      </c>
      <c r="R573" s="3">
        <v>43805.0</v>
      </c>
      <c r="S573" s="1"/>
      <c r="T573" s="1">
        <v>1302405.0</v>
      </c>
      <c r="U573" s="1" t="s">
        <v>2258</v>
      </c>
      <c r="V573" s="1" t="s">
        <v>486</v>
      </c>
      <c r="W573" s="1" t="s">
        <v>177</v>
      </c>
      <c r="X573" s="1"/>
      <c r="Y573" s="1" t="str">
        <f>"02001035158201934"</f>
        <v>02001035158201934</v>
      </c>
      <c r="Z573" s="1" t="s">
        <v>147</v>
      </c>
      <c r="AA573" s="1" t="s">
        <v>2681</v>
      </c>
      <c r="AB573" s="1" t="str">
        <f>"***523362**"</f>
        <v>***523362**</v>
      </c>
      <c r="AC573" s="1"/>
      <c r="AD573" s="1"/>
      <c r="AE573" s="1"/>
      <c r="AF573" s="1">
        <v>-66.983055</v>
      </c>
      <c r="AG573" s="1">
        <v>-8.601667</v>
      </c>
      <c r="AH573" s="1" t="s">
        <v>2682</v>
      </c>
      <c r="AI573" s="1"/>
      <c r="AJ573" s="1" t="s">
        <v>172</v>
      </c>
      <c r="AK573" s="1"/>
      <c r="AL573" s="1" t="s">
        <v>79</v>
      </c>
      <c r="AM573" s="1" t="s">
        <v>65</v>
      </c>
      <c r="AN573" s="1" t="s">
        <v>1395</v>
      </c>
      <c r="AO573" s="2">
        <v>43895.0</v>
      </c>
      <c r="AP573" s="2">
        <v>43895.374212963</v>
      </c>
      <c r="AQ573" s="1" t="s">
        <v>80</v>
      </c>
      <c r="AR573" s="1" t="s">
        <v>2545</v>
      </c>
      <c r="AS573" s="1"/>
      <c r="AT573" s="2">
        <v>44269.931099537</v>
      </c>
    </row>
    <row r="574" ht="13.5" customHeight="1">
      <c r="A574" s="1">
        <v>2037828.0</v>
      </c>
      <c r="B574" s="1" t="s">
        <v>67</v>
      </c>
      <c r="C574" s="1" t="s">
        <v>68</v>
      </c>
      <c r="D574" s="1" t="s">
        <v>46</v>
      </c>
      <c r="E574" s="1" t="s">
        <v>2683</v>
      </c>
      <c r="F574" s="1"/>
      <c r="G574" s="1" t="s">
        <v>70</v>
      </c>
      <c r="H574" s="1" t="s">
        <v>50</v>
      </c>
      <c r="I574" s="1">
        <v>100000.0</v>
      </c>
      <c r="J574" s="1"/>
      <c r="K574" s="1"/>
      <c r="L574" s="1" t="s">
        <v>172</v>
      </c>
      <c r="M574" s="1" t="s">
        <v>2684</v>
      </c>
      <c r="N574" s="1" t="s">
        <v>283</v>
      </c>
      <c r="O574" s="1" t="s">
        <v>1133</v>
      </c>
      <c r="P574" s="2">
        <v>43805.4583333333</v>
      </c>
      <c r="Q574" s="1" t="s">
        <v>74</v>
      </c>
      <c r="R574" s="1"/>
      <c r="S574" s="1"/>
      <c r="T574" s="1">
        <v>3302403.0</v>
      </c>
      <c r="U574" s="1" t="s">
        <v>1371</v>
      </c>
      <c r="V574" s="1" t="s">
        <v>287</v>
      </c>
      <c r="W574" s="1"/>
      <c r="X574" s="1"/>
      <c r="Y574" s="1"/>
      <c r="Z574" s="1" t="s">
        <v>128</v>
      </c>
      <c r="AA574" s="1" t="s">
        <v>289</v>
      </c>
      <c r="AB574" s="1" t="str">
        <f>"33000167000101"</f>
        <v>33000167000101</v>
      </c>
      <c r="AC574" s="1"/>
      <c r="AD574" s="1"/>
      <c r="AE574" s="1"/>
      <c r="AF574" s="1">
        <v>-40.419167</v>
      </c>
      <c r="AG574" s="1">
        <v>-22.373333</v>
      </c>
      <c r="AH574" s="1" t="s">
        <v>2297</v>
      </c>
      <c r="AI574" s="1"/>
      <c r="AJ574" s="1" t="s">
        <v>172</v>
      </c>
      <c r="AK574" s="1"/>
      <c r="AL574" s="1" t="s">
        <v>79</v>
      </c>
      <c r="AM574" s="1" t="s">
        <v>65</v>
      </c>
      <c r="AN574" s="1" t="s">
        <v>720</v>
      </c>
      <c r="AO574" s="2">
        <v>44011.0</v>
      </c>
      <c r="AP574" s="2">
        <v>44011.7121643519</v>
      </c>
      <c r="AQ574" s="1" t="s">
        <v>80</v>
      </c>
      <c r="AR574" s="1" t="s">
        <v>1485</v>
      </c>
      <c r="AS574" s="1" t="s">
        <v>1361</v>
      </c>
      <c r="AT574" s="2">
        <v>44269.931099537</v>
      </c>
    </row>
    <row r="575" ht="13.5" customHeight="1">
      <c r="A575" s="1">
        <v>2042983.0</v>
      </c>
      <c r="B575" s="1" t="s">
        <v>67</v>
      </c>
      <c r="C575" s="1" t="s">
        <v>68</v>
      </c>
      <c r="D575" s="1" t="s">
        <v>46</v>
      </c>
      <c r="E575" s="1" t="s">
        <v>2685</v>
      </c>
      <c r="F575" s="1"/>
      <c r="G575" s="1" t="s">
        <v>70</v>
      </c>
      <c r="H575" s="1" t="s">
        <v>93</v>
      </c>
      <c r="I575" s="1">
        <v>25000.0</v>
      </c>
      <c r="J575" s="1"/>
      <c r="K575" s="1"/>
      <c r="L575" s="1" t="s">
        <v>65</v>
      </c>
      <c r="M575" s="1" t="s">
        <v>2670</v>
      </c>
      <c r="N575" s="1" t="s">
        <v>283</v>
      </c>
      <c r="O575" s="1" t="s">
        <v>978</v>
      </c>
      <c r="P575" s="2">
        <v>43805.4583333333</v>
      </c>
      <c r="Q575" s="1" t="s">
        <v>74</v>
      </c>
      <c r="R575" s="3">
        <v>43858.0</v>
      </c>
      <c r="S575" s="1"/>
      <c r="T575" s="1">
        <v>5201108.0</v>
      </c>
      <c r="U575" s="1" t="s">
        <v>2686</v>
      </c>
      <c r="V575" s="1" t="s">
        <v>375</v>
      </c>
      <c r="W575" s="1" t="s">
        <v>127</v>
      </c>
      <c r="X575" s="1"/>
      <c r="Y575" s="1" t="str">
        <f>"02001036366201951"</f>
        <v>02001036366201951</v>
      </c>
      <c r="Z575" s="1" t="s">
        <v>980</v>
      </c>
      <c r="AA575" s="1" t="s">
        <v>2687</v>
      </c>
      <c r="AB575" s="1" t="str">
        <f>"06097469000177"</f>
        <v>06097469000177</v>
      </c>
      <c r="AC575" s="1"/>
      <c r="AD575" s="1" t="s">
        <v>116</v>
      </c>
      <c r="AE575" s="1"/>
      <c r="AF575" s="1">
        <v>-49.042222</v>
      </c>
      <c r="AG575" s="1">
        <v>-16.344167</v>
      </c>
      <c r="AH575" s="1" t="s">
        <v>2687</v>
      </c>
      <c r="AI575" s="1"/>
      <c r="AJ575" s="1" t="s">
        <v>172</v>
      </c>
      <c r="AK575" s="1"/>
      <c r="AL575" s="1" t="s">
        <v>118</v>
      </c>
      <c r="AM575" s="1" t="s">
        <v>65</v>
      </c>
      <c r="AN575" s="1" t="s">
        <v>983</v>
      </c>
      <c r="AO575" s="2">
        <v>44223.0</v>
      </c>
      <c r="AP575" s="2">
        <v>44237.5872685185</v>
      </c>
      <c r="AQ575" s="1" t="s">
        <v>80</v>
      </c>
      <c r="AR575" s="1" t="s">
        <v>1050</v>
      </c>
      <c r="AS575" s="1" t="s">
        <v>2688</v>
      </c>
      <c r="AT575" s="2">
        <v>44269.931099537</v>
      </c>
    </row>
    <row r="576" ht="13.5" customHeight="1">
      <c r="A576" s="1"/>
      <c r="B576" s="1" t="s">
        <v>46</v>
      </c>
      <c r="C576" s="1" t="s">
        <v>47</v>
      </c>
      <c r="D576" s="1"/>
      <c r="E576" s="1" t="s">
        <v>2689</v>
      </c>
      <c r="F576" s="1"/>
      <c r="G576" s="1" t="s">
        <v>49</v>
      </c>
      <c r="H576" s="1" t="s">
        <v>50</v>
      </c>
      <c r="I576" s="1">
        <v>405000.0</v>
      </c>
      <c r="J576" s="1"/>
      <c r="K576" s="1" t="s">
        <v>140</v>
      </c>
      <c r="L576" s="1"/>
      <c r="M576" s="1" t="s">
        <v>2381</v>
      </c>
      <c r="N576" s="1" t="s">
        <v>977</v>
      </c>
      <c r="O576" s="1" t="s">
        <v>978</v>
      </c>
      <c r="P576" s="2">
        <v>43805.4582523148</v>
      </c>
      <c r="Q576" s="1" t="s">
        <v>74</v>
      </c>
      <c r="R576" s="1"/>
      <c r="S576" s="1"/>
      <c r="T576" s="1">
        <v>3304557.0</v>
      </c>
      <c r="U576" s="1" t="s">
        <v>286</v>
      </c>
      <c r="V576" s="1" t="s">
        <v>287</v>
      </c>
      <c r="W576" s="1" t="s">
        <v>288</v>
      </c>
      <c r="X576" s="1"/>
      <c r="Y576" s="1"/>
      <c r="Z576" s="1" t="s">
        <v>980</v>
      </c>
      <c r="AA576" s="1" t="s">
        <v>2690</v>
      </c>
      <c r="AB576" s="1" t="str">
        <f>"04780146000158"</f>
        <v>04780146000158</v>
      </c>
      <c r="AC576" s="1"/>
      <c r="AD576" s="1" t="s">
        <v>149</v>
      </c>
      <c r="AE576" s="1"/>
      <c r="AF576" s="1">
        <v>-43.246944</v>
      </c>
      <c r="AG576" s="1">
        <v>-23.049444</v>
      </c>
      <c r="AH576" s="1" t="s">
        <v>982</v>
      </c>
      <c r="AI576" s="1"/>
      <c r="AJ576" s="1" t="s">
        <v>172</v>
      </c>
      <c r="AK576" s="1"/>
      <c r="AL576" s="1"/>
      <c r="AM576" s="1" t="s">
        <v>65</v>
      </c>
      <c r="AN576" s="1" t="s">
        <v>983</v>
      </c>
      <c r="AO576" s="1"/>
      <c r="AP576" s="2">
        <v>44008.7395833333</v>
      </c>
      <c r="AQ576" s="1"/>
      <c r="AR576" s="1" t="s">
        <v>984</v>
      </c>
      <c r="AS576" s="1" t="s">
        <v>2383</v>
      </c>
      <c r="AT576" s="2">
        <v>44269.931099537</v>
      </c>
    </row>
    <row r="577" ht="13.5" customHeight="1">
      <c r="A577" s="1"/>
      <c r="B577" s="1" t="s">
        <v>46</v>
      </c>
      <c r="C577" s="1" t="s">
        <v>47</v>
      </c>
      <c r="D577" s="1"/>
      <c r="E577" s="1" t="s">
        <v>2691</v>
      </c>
      <c r="F577" s="1"/>
      <c r="G577" s="1" t="s">
        <v>49</v>
      </c>
      <c r="H577" s="1" t="s">
        <v>50</v>
      </c>
      <c r="I577" s="1">
        <v>85000.0</v>
      </c>
      <c r="J577" s="1"/>
      <c r="K577" s="1" t="s">
        <v>51</v>
      </c>
      <c r="L577" s="1"/>
      <c r="M577" s="1" t="s">
        <v>2381</v>
      </c>
      <c r="N577" s="1" t="s">
        <v>977</v>
      </c>
      <c r="O577" s="1" t="s">
        <v>978</v>
      </c>
      <c r="P577" s="2">
        <v>43805.4222106481</v>
      </c>
      <c r="Q577" s="1" t="s">
        <v>74</v>
      </c>
      <c r="R577" s="1"/>
      <c r="S577" s="1"/>
      <c r="T577" s="1">
        <v>5300108.0</v>
      </c>
      <c r="U577" s="1" t="s">
        <v>1541</v>
      </c>
      <c r="V577" s="1" t="s">
        <v>1542</v>
      </c>
      <c r="W577" s="1" t="s">
        <v>127</v>
      </c>
      <c r="X577" s="1"/>
      <c r="Y577" s="1"/>
      <c r="Z577" s="1" t="s">
        <v>980</v>
      </c>
      <c r="AA577" s="1" t="s">
        <v>2692</v>
      </c>
      <c r="AB577" s="1" t="str">
        <f>"06351674000117"</f>
        <v>06351674000117</v>
      </c>
      <c r="AC577" s="1"/>
      <c r="AD577" s="1" t="s">
        <v>149</v>
      </c>
      <c r="AE577" s="1"/>
      <c r="AF577" s="1">
        <v>-48.099442</v>
      </c>
      <c r="AG577" s="1">
        <v>-15.875278</v>
      </c>
      <c r="AH577" s="1" t="s">
        <v>982</v>
      </c>
      <c r="AI577" s="1"/>
      <c r="AJ577" s="1" t="s">
        <v>172</v>
      </c>
      <c r="AK577" s="1"/>
      <c r="AL577" s="1"/>
      <c r="AM577" s="1" t="s">
        <v>65</v>
      </c>
      <c r="AN577" s="1" t="s">
        <v>983</v>
      </c>
      <c r="AO577" s="1"/>
      <c r="AP577" s="2">
        <v>44008.7397337963</v>
      </c>
      <c r="AQ577" s="1"/>
      <c r="AR577" s="1" t="s">
        <v>984</v>
      </c>
      <c r="AS577" s="1" t="s">
        <v>2383</v>
      </c>
      <c r="AT577" s="2">
        <v>44269.931099537</v>
      </c>
    </row>
    <row r="578" ht="13.5" customHeight="1">
      <c r="A578" s="1"/>
      <c r="B578" s="1" t="s">
        <v>46</v>
      </c>
      <c r="C578" s="1" t="s">
        <v>47</v>
      </c>
      <c r="D578" s="1"/>
      <c r="E578" s="1" t="s">
        <v>2693</v>
      </c>
      <c r="F578" s="1"/>
      <c r="G578" s="1" t="s">
        <v>49</v>
      </c>
      <c r="H578" s="1" t="s">
        <v>93</v>
      </c>
      <c r="I578" s="1">
        <v>9000.0</v>
      </c>
      <c r="J578" s="1"/>
      <c r="K578" s="1" t="s">
        <v>51</v>
      </c>
      <c r="L578" s="1"/>
      <c r="M578" s="1" t="s">
        <v>2670</v>
      </c>
      <c r="N578" s="1" t="s">
        <v>977</v>
      </c>
      <c r="O578" s="1" t="s">
        <v>978</v>
      </c>
      <c r="P578" s="2">
        <v>43805.4136805556</v>
      </c>
      <c r="Q578" s="1" t="s">
        <v>74</v>
      </c>
      <c r="R578" s="1"/>
      <c r="S578" s="1"/>
      <c r="T578" s="1">
        <v>4207502.0</v>
      </c>
      <c r="U578" s="1" t="s">
        <v>2421</v>
      </c>
      <c r="V578" s="1" t="s">
        <v>267</v>
      </c>
      <c r="W578" s="1" t="s">
        <v>146</v>
      </c>
      <c r="X578" s="1"/>
      <c r="Y578" s="1"/>
      <c r="Z578" s="1" t="s">
        <v>980</v>
      </c>
      <c r="AA578" s="1" t="s">
        <v>2694</v>
      </c>
      <c r="AB578" s="1" t="str">
        <f>"21404906000141"</f>
        <v>21404906000141</v>
      </c>
      <c r="AC578" s="1"/>
      <c r="AD578" s="1" t="s">
        <v>149</v>
      </c>
      <c r="AE578" s="1"/>
      <c r="AF578" s="1">
        <v>-49.27</v>
      </c>
      <c r="AG578" s="1">
        <v>-27.013056</v>
      </c>
      <c r="AH578" s="1" t="s">
        <v>2694</v>
      </c>
      <c r="AI578" s="1"/>
      <c r="AJ578" s="1" t="s">
        <v>172</v>
      </c>
      <c r="AK578" s="1"/>
      <c r="AL578" s="1"/>
      <c r="AM578" s="1" t="s">
        <v>65</v>
      </c>
      <c r="AN578" s="1" t="s">
        <v>983</v>
      </c>
      <c r="AO578" s="1"/>
      <c r="AP578" s="2">
        <v>43992.5389467593</v>
      </c>
      <c r="AQ578" s="1"/>
      <c r="AR578" s="1" t="s">
        <v>984</v>
      </c>
      <c r="AS578" s="1" t="s">
        <v>2695</v>
      </c>
      <c r="AT578" s="2">
        <v>44269.931099537</v>
      </c>
    </row>
    <row r="579" ht="13.5" customHeight="1">
      <c r="A579" s="1"/>
      <c r="B579" s="1" t="s">
        <v>46</v>
      </c>
      <c r="C579" s="1" t="s">
        <v>47</v>
      </c>
      <c r="D579" s="1"/>
      <c r="E579" s="1" t="s">
        <v>2696</v>
      </c>
      <c r="F579" s="1"/>
      <c r="G579" s="1" t="s">
        <v>49</v>
      </c>
      <c r="H579" s="1" t="s">
        <v>93</v>
      </c>
      <c r="I579" s="1">
        <v>205000.0</v>
      </c>
      <c r="J579" s="1"/>
      <c r="K579" s="1" t="s">
        <v>51</v>
      </c>
      <c r="L579" s="1"/>
      <c r="M579" s="1" t="s">
        <v>2670</v>
      </c>
      <c r="N579" s="1" t="s">
        <v>977</v>
      </c>
      <c r="O579" s="1" t="s">
        <v>978</v>
      </c>
      <c r="P579" s="2">
        <v>43805.3877199074</v>
      </c>
      <c r="Q579" s="1" t="s">
        <v>74</v>
      </c>
      <c r="R579" s="1"/>
      <c r="S579" s="1"/>
      <c r="T579" s="1">
        <v>4314902.0</v>
      </c>
      <c r="U579" s="1" t="s">
        <v>2671</v>
      </c>
      <c r="V579" s="1" t="s">
        <v>145</v>
      </c>
      <c r="W579" s="1" t="s">
        <v>146</v>
      </c>
      <c r="X579" s="1"/>
      <c r="Y579" s="1"/>
      <c r="Z579" s="1" t="s">
        <v>980</v>
      </c>
      <c r="AA579" s="1" t="s">
        <v>2697</v>
      </c>
      <c r="AB579" s="1" t="str">
        <f>"03921280000169"</f>
        <v>03921280000169</v>
      </c>
      <c r="AC579" s="1"/>
      <c r="AD579" s="1" t="s">
        <v>149</v>
      </c>
      <c r="AE579" s="1"/>
      <c r="AF579" s="1">
        <v>-51.182777</v>
      </c>
      <c r="AG579" s="1">
        <v>-30.0075</v>
      </c>
      <c r="AH579" s="1" t="s">
        <v>2697</v>
      </c>
      <c r="AI579" s="1"/>
      <c r="AJ579" s="1" t="s">
        <v>172</v>
      </c>
      <c r="AK579" s="1"/>
      <c r="AL579" s="1"/>
      <c r="AM579" s="1" t="s">
        <v>65</v>
      </c>
      <c r="AN579" s="1" t="s">
        <v>983</v>
      </c>
      <c r="AO579" s="1"/>
      <c r="AP579" s="2">
        <v>43992.5390509259</v>
      </c>
      <c r="AQ579" s="1"/>
      <c r="AR579" s="1" t="s">
        <v>984</v>
      </c>
      <c r="AS579" s="1" t="s">
        <v>2688</v>
      </c>
      <c r="AT579" s="2">
        <v>44269.931099537</v>
      </c>
    </row>
    <row r="580" ht="13.5" customHeight="1">
      <c r="A580" s="1"/>
      <c r="B580" s="1" t="s">
        <v>46</v>
      </c>
      <c r="C580" s="1" t="s">
        <v>47</v>
      </c>
      <c r="D580" s="1"/>
      <c r="E580" s="1" t="s">
        <v>2698</v>
      </c>
      <c r="F580" s="1"/>
      <c r="G580" s="1" t="s">
        <v>49</v>
      </c>
      <c r="H580" s="1" t="s">
        <v>50</v>
      </c>
      <c r="I580" s="1">
        <v>325000.0</v>
      </c>
      <c r="J580" s="1"/>
      <c r="K580" s="1" t="s">
        <v>140</v>
      </c>
      <c r="L580" s="1"/>
      <c r="M580" s="1" t="s">
        <v>2381</v>
      </c>
      <c r="N580" s="1" t="s">
        <v>977</v>
      </c>
      <c r="O580" s="1" t="s">
        <v>978</v>
      </c>
      <c r="P580" s="2">
        <v>43805.3841782407</v>
      </c>
      <c r="Q580" s="1" t="s">
        <v>74</v>
      </c>
      <c r="R580" s="1"/>
      <c r="S580" s="1"/>
      <c r="T580" s="1">
        <v>3523909.0</v>
      </c>
      <c r="U580" s="1" t="s">
        <v>2699</v>
      </c>
      <c r="V580" s="1" t="s">
        <v>58</v>
      </c>
      <c r="W580" s="1" t="s">
        <v>59</v>
      </c>
      <c r="X580" s="1"/>
      <c r="Y580" s="1"/>
      <c r="Z580" s="1" t="s">
        <v>980</v>
      </c>
      <c r="AA580" s="1" t="s">
        <v>2700</v>
      </c>
      <c r="AB580" s="1" t="str">
        <f>"02737439000127"</f>
        <v>02737439000127</v>
      </c>
      <c r="AC580" s="1"/>
      <c r="AD580" s="1" t="s">
        <v>149</v>
      </c>
      <c r="AE580" s="1"/>
      <c r="AF580" s="1">
        <v>-47.460278</v>
      </c>
      <c r="AG580" s="1">
        <v>-23.383888</v>
      </c>
      <c r="AH580" s="1" t="s">
        <v>982</v>
      </c>
      <c r="AI580" s="1"/>
      <c r="AJ580" s="1" t="s">
        <v>172</v>
      </c>
      <c r="AK580" s="1"/>
      <c r="AL580" s="1"/>
      <c r="AM580" s="1" t="s">
        <v>65</v>
      </c>
      <c r="AN580" s="1" t="s">
        <v>983</v>
      </c>
      <c r="AO580" s="1"/>
      <c r="AP580" s="2">
        <v>44008.7399305556</v>
      </c>
      <c r="AQ580" s="1"/>
      <c r="AR580" s="1" t="s">
        <v>984</v>
      </c>
      <c r="AS580" s="1" t="s">
        <v>2383</v>
      </c>
      <c r="AT580" s="2">
        <v>44269.931099537</v>
      </c>
    </row>
    <row r="581" ht="13.5" customHeight="1">
      <c r="A581" s="1">
        <v>2037466.0</v>
      </c>
      <c r="B581" s="1" t="s">
        <v>67</v>
      </c>
      <c r="C581" s="1" t="s">
        <v>68</v>
      </c>
      <c r="D581" s="1" t="s">
        <v>46</v>
      </c>
      <c r="E581" s="1" t="s">
        <v>2701</v>
      </c>
      <c r="F581" s="1"/>
      <c r="G581" s="1" t="s">
        <v>70</v>
      </c>
      <c r="H581" s="1" t="s">
        <v>50</v>
      </c>
      <c r="I581" s="1">
        <v>45000.0</v>
      </c>
      <c r="J581" s="1"/>
      <c r="K581" s="1"/>
      <c r="L581" s="1" t="s">
        <v>172</v>
      </c>
      <c r="M581" s="1" t="s">
        <v>2381</v>
      </c>
      <c r="N581" s="1" t="s">
        <v>283</v>
      </c>
      <c r="O581" s="1" t="s">
        <v>978</v>
      </c>
      <c r="P581" s="2">
        <v>43805.2916666667</v>
      </c>
      <c r="Q581" s="1" t="s">
        <v>74</v>
      </c>
      <c r="R581" s="1"/>
      <c r="S581" s="1"/>
      <c r="T581" s="1">
        <v>3550308.0</v>
      </c>
      <c r="U581" s="1" t="s">
        <v>607</v>
      </c>
      <c r="V581" s="1" t="s">
        <v>58</v>
      </c>
      <c r="W581" s="1" t="s">
        <v>59</v>
      </c>
      <c r="X581" s="1"/>
      <c r="Y581" s="1" t="str">
        <f>"02001035852201951"</f>
        <v>02001035852201951</v>
      </c>
      <c r="Z581" s="1" t="s">
        <v>980</v>
      </c>
      <c r="AA581" s="1" t="s">
        <v>2702</v>
      </c>
      <c r="AB581" s="1" t="str">
        <f>"17148509000189"</f>
        <v>17148509000189</v>
      </c>
      <c r="AC581" s="1"/>
      <c r="AD581" s="1"/>
      <c r="AE581" s="1"/>
      <c r="AF581" s="1">
        <v>-46.864445</v>
      </c>
      <c r="AG581" s="1">
        <v>-23.651388</v>
      </c>
      <c r="AH581" s="1" t="s">
        <v>982</v>
      </c>
      <c r="AI581" s="1"/>
      <c r="AJ581" s="1" t="s">
        <v>172</v>
      </c>
      <c r="AK581" s="1"/>
      <c r="AL581" s="1" t="s">
        <v>79</v>
      </c>
      <c r="AM581" s="1" t="s">
        <v>65</v>
      </c>
      <c r="AN581" s="1" t="s">
        <v>983</v>
      </c>
      <c r="AO581" s="2">
        <v>43998.0</v>
      </c>
      <c r="AP581" s="2">
        <v>43998.5239930556</v>
      </c>
      <c r="AQ581" s="1" t="s">
        <v>80</v>
      </c>
      <c r="AR581" s="1" t="s">
        <v>1050</v>
      </c>
      <c r="AS581" s="1" t="s">
        <v>2383</v>
      </c>
      <c r="AT581" s="2">
        <v>44269.931099537</v>
      </c>
    </row>
    <row r="582" ht="13.5" customHeight="1">
      <c r="A582" s="1">
        <v>2043222.0</v>
      </c>
      <c r="B582" s="1" t="s">
        <v>67</v>
      </c>
      <c r="C582" s="1" t="s">
        <v>68</v>
      </c>
      <c r="D582" s="1" t="s">
        <v>46</v>
      </c>
      <c r="E582" s="1" t="s">
        <v>2703</v>
      </c>
      <c r="F582" s="1"/>
      <c r="G582" s="1" t="s">
        <v>70</v>
      </c>
      <c r="H582" s="1" t="s">
        <v>93</v>
      </c>
      <c r="I582" s="1">
        <v>3900.0</v>
      </c>
      <c r="J582" s="1"/>
      <c r="K582" s="1"/>
      <c r="L582" s="1" t="s">
        <v>569</v>
      </c>
      <c r="M582" s="1" t="s">
        <v>2704</v>
      </c>
      <c r="N582" s="1" t="s">
        <v>142</v>
      </c>
      <c r="O582" s="1" t="s">
        <v>143</v>
      </c>
      <c r="P582" s="2">
        <v>43805.25</v>
      </c>
      <c r="Q582" s="1" t="s">
        <v>373</v>
      </c>
      <c r="R582" s="3">
        <v>43805.0</v>
      </c>
      <c r="S582" s="1"/>
      <c r="T582" s="1">
        <v>2805802.0</v>
      </c>
      <c r="U582" s="1" t="s">
        <v>2705</v>
      </c>
      <c r="V582" s="1" t="s">
        <v>566</v>
      </c>
      <c r="W582" s="1" t="s">
        <v>113</v>
      </c>
      <c r="X582" s="1"/>
      <c r="Y582" s="1" t="str">
        <f>"02028000131202147"</f>
        <v>02028000131202147</v>
      </c>
      <c r="Z582" s="1" t="s">
        <v>147</v>
      </c>
      <c r="AA582" s="1" t="s">
        <v>2706</v>
      </c>
      <c r="AB582" s="1" t="str">
        <f>"***685865**"</f>
        <v>***685865**</v>
      </c>
      <c r="AC582" s="1"/>
      <c r="AD582" s="1"/>
      <c r="AE582" s="1"/>
      <c r="AF582" s="1">
        <v>-37.9325</v>
      </c>
      <c r="AG582" s="1">
        <v>-10.926111</v>
      </c>
      <c r="AH582" s="1" t="s">
        <v>2707</v>
      </c>
      <c r="AI582" s="1"/>
      <c r="AJ582" s="1" t="s">
        <v>569</v>
      </c>
      <c r="AK582" s="1"/>
      <c r="AL582" s="1" t="s">
        <v>79</v>
      </c>
      <c r="AM582" s="1" t="s">
        <v>65</v>
      </c>
      <c r="AN582" s="1" t="s">
        <v>643</v>
      </c>
      <c r="AO582" s="2">
        <v>44231.0</v>
      </c>
      <c r="AP582" s="2">
        <v>44231.4896759259</v>
      </c>
      <c r="AQ582" s="1" t="s">
        <v>80</v>
      </c>
      <c r="AR582" s="1" t="s">
        <v>2708</v>
      </c>
      <c r="AS582" s="1"/>
      <c r="AT582" s="2">
        <v>44269.931099537</v>
      </c>
    </row>
    <row r="583" ht="13.5" customHeight="1">
      <c r="A583" s="1"/>
      <c r="B583" s="1" t="s">
        <v>46</v>
      </c>
      <c r="C583" s="1" t="s">
        <v>657</v>
      </c>
      <c r="D583" s="1" t="s">
        <v>67</v>
      </c>
      <c r="E583" s="1" t="s">
        <v>2709</v>
      </c>
      <c r="F583" s="1"/>
      <c r="G583" s="1" t="s">
        <v>49</v>
      </c>
      <c r="H583" s="1" t="s">
        <v>93</v>
      </c>
      <c r="I583" s="1">
        <v>50000.0</v>
      </c>
      <c r="J583" s="1"/>
      <c r="K583" s="1"/>
      <c r="L583" s="1"/>
      <c r="M583" s="1" t="s">
        <v>2710</v>
      </c>
      <c r="N583" s="1" t="s">
        <v>142</v>
      </c>
      <c r="O583" s="1" t="s">
        <v>143</v>
      </c>
      <c r="P583" s="2">
        <v>43805.1293634259</v>
      </c>
      <c r="Q583" s="1" t="s">
        <v>373</v>
      </c>
      <c r="R583" s="1"/>
      <c r="S583" s="1"/>
      <c r="T583" s="1">
        <v>2800407.0</v>
      </c>
      <c r="U583" s="1" t="s">
        <v>2620</v>
      </c>
      <c r="V583" s="1" t="s">
        <v>566</v>
      </c>
      <c r="W583" s="1" t="s">
        <v>59</v>
      </c>
      <c r="X583" s="1"/>
      <c r="Y583" s="1"/>
      <c r="Z583" s="1" t="s">
        <v>147</v>
      </c>
      <c r="AA583" s="1" t="s">
        <v>2711</v>
      </c>
      <c r="AB583" s="1" t="str">
        <f>"***534495**"</f>
        <v>***534495**</v>
      </c>
      <c r="AC583" s="1"/>
      <c r="AD583" s="1" t="s">
        <v>116</v>
      </c>
      <c r="AE583" s="1"/>
      <c r="AF583" s="1">
        <v>-37.608333</v>
      </c>
      <c r="AG583" s="1">
        <v>-11.24</v>
      </c>
      <c r="AH583" s="1" t="s">
        <v>2712</v>
      </c>
      <c r="AI583" s="1"/>
      <c r="AJ583" s="1" t="s">
        <v>569</v>
      </c>
      <c r="AK583" s="1"/>
      <c r="AL583" s="1"/>
      <c r="AM583" s="1" t="s">
        <v>65</v>
      </c>
      <c r="AN583" s="1" t="s">
        <v>643</v>
      </c>
      <c r="AO583" s="1"/>
      <c r="AP583" s="2">
        <v>44230.6661921296</v>
      </c>
      <c r="AQ583" s="1"/>
      <c r="AR583" s="1" t="s">
        <v>2713</v>
      </c>
      <c r="AS583" s="1"/>
      <c r="AT583" s="2">
        <v>44269.931099537</v>
      </c>
    </row>
    <row r="584" ht="13.5" customHeight="1">
      <c r="A584" s="1"/>
      <c r="B584" s="1" t="s">
        <v>46</v>
      </c>
      <c r="C584" s="1" t="s">
        <v>47</v>
      </c>
      <c r="D584" s="1"/>
      <c r="E584" s="1" t="s">
        <v>2714</v>
      </c>
      <c r="F584" s="1"/>
      <c r="G584" s="1" t="s">
        <v>49</v>
      </c>
      <c r="H584" s="1" t="s">
        <v>93</v>
      </c>
      <c r="I584" s="1">
        <v>85000.0</v>
      </c>
      <c r="J584" s="1"/>
      <c r="K584" s="1"/>
      <c r="L584" s="1"/>
      <c r="M584" s="1" t="s">
        <v>2715</v>
      </c>
      <c r="N584" s="1" t="s">
        <v>142</v>
      </c>
      <c r="O584" s="1" t="s">
        <v>143</v>
      </c>
      <c r="P584" s="2">
        <v>43804.8837962963</v>
      </c>
      <c r="Q584" s="1" t="s">
        <v>373</v>
      </c>
      <c r="R584" s="1"/>
      <c r="S584" s="1"/>
      <c r="T584" s="1">
        <v>1101492.0</v>
      </c>
      <c r="U584" s="1" t="s">
        <v>2181</v>
      </c>
      <c r="V584" s="1" t="s">
        <v>448</v>
      </c>
      <c r="W584" s="1" t="s">
        <v>177</v>
      </c>
      <c r="X584" s="1"/>
      <c r="Y584" s="1"/>
      <c r="Z584" s="1" t="s">
        <v>147</v>
      </c>
      <c r="AA584" s="1" t="s">
        <v>2716</v>
      </c>
      <c r="AB584" s="1" t="str">
        <f>"***463512**"</f>
        <v>***463512**</v>
      </c>
      <c r="AC584" s="1"/>
      <c r="AD584" s="1" t="s">
        <v>116</v>
      </c>
      <c r="AE584" s="1"/>
      <c r="AF584" s="1">
        <v>-63.743057</v>
      </c>
      <c r="AG584" s="1">
        <v>-63.2425</v>
      </c>
      <c r="AH584" s="1" t="s">
        <v>2717</v>
      </c>
      <c r="AI584" s="1"/>
      <c r="AJ584" s="1" t="s">
        <v>172</v>
      </c>
      <c r="AK584" s="1"/>
      <c r="AL584" s="1"/>
      <c r="AM584" s="1" t="s">
        <v>65</v>
      </c>
      <c r="AN584" s="1" t="s">
        <v>1395</v>
      </c>
      <c r="AO584" s="1"/>
      <c r="AP584" s="2">
        <v>43804.8936226852</v>
      </c>
      <c r="AQ584" s="1"/>
      <c r="AR584" s="1" t="s">
        <v>644</v>
      </c>
      <c r="AS584" s="1" t="s">
        <v>1864</v>
      </c>
      <c r="AT584" s="2">
        <v>44269.931099537</v>
      </c>
    </row>
    <row r="585" ht="13.5" customHeight="1">
      <c r="A585" s="1">
        <v>2044126.0</v>
      </c>
      <c r="B585" s="1" t="s">
        <v>67</v>
      </c>
      <c r="C585" s="1" t="s">
        <v>68</v>
      </c>
      <c r="D585" s="1" t="s">
        <v>46</v>
      </c>
      <c r="E585" s="1" t="s">
        <v>2718</v>
      </c>
      <c r="F585" s="1"/>
      <c r="G585" s="1" t="s">
        <v>70</v>
      </c>
      <c r="H585" s="1" t="s">
        <v>93</v>
      </c>
      <c r="I585" s="1">
        <v>5500.0</v>
      </c>
      <c r="J585" s="1"/>
      <c r="K585" s="1"/>
      <c r="L585" s="1" t="s">
        <v>172</v>
      </c>
      <c r="M585" s="1" t="s">
        <v>2719</v>
      </c>
      <c r="N585" s="1" t="s">
        <v>53</v>
      </c>
      <c r="O585" s="1" t="s">
        <v>54</v>
      </c>
      <c r="P585" s="2">
        <v>43804.875</v>
      </c>
      <c r="Q585" s="1" t="s">
        <v>74</v>
      </c>
      <c r="R585" s="1"/>
      <c r="S585" s="1"/>
      <c r="T585" s="1">
        <v>2302206.0</v>
      </c>
      <c r="U585" s="1" t="s">
        <v>1331</v>
      </c>
      <c r="V585" s="1" t="s">
        <v>112</v>
      </c>
      <c r="W585" s="1" t="s">
        <v>288</v>
      </c>
      <c r="X585" s="1"/>
      <c r="Y585" s="1" t="str">
        <f>"02001004711202110"</f>
        <v>02001004711202110</v>
      </c>
      <c r="Z585" s="1" t="s">
        <v>60</v>
      </c>
      <c r="AA585" s="1" t="s">
        <v>2720</v>
      </c>
      <c r="AB585" s="1" t="str">
        <f>"***529813**"</f>
        <v>***529813**</v>
      </c>
      <c r="AC585" s="1"/>
      <c r="AD585" s="1"/>
      <c r="AE585" s="1"/>
      <c r="AF585" s="1">
        <v>-37.835831</v>
      </c>
      <c r="AG585" s="1">
        <v>-4.401945</v>
      </c>
      <c r="AH585" s="1" t="s">
        <v>2721</v>
      </c>
      <c r="AI585" s="1"/>
      <c r="AJ585" s="1" t="s">
        <v>172</v>
      </c>
      <c r="AK585" s="1"/>
      <c r="AL585" s="1" t="s">
        <v>79</v>
      </c>
      <c r="AM585" s="1" t="s">
        <v>65</v>
      </c>
      <c r="AN585" s="1" t="s">
        <v>2722</v>
      </c>
      <c r="AO585" s="2">
        <v>44263.0</v>
      </c>
      <c r="AP585" s="2">
        <v>44263.6579166667</v>
      </c>
      <c r="AQ585" s="1" t="s">
        <v>80</v>
      </c>
      <c r="AR585" s="1" t="s">
        <v>462</v>
      </c>
      <c r="AS585" s="1" t="s">
        <v>2723</v>
      </c>
      <c r="AT585" s="2">
        <v>44269.931099537</v>
      </c>
    </row>
    <row r="586" ht="13.5" customHeight="1">
      <c r="A586" s="1">
        <v>2035410.0</v>
      </c>
      <c r="B586" s="1" t="s">
        <v>67</v>
      </c>
      <c r="C586" s="1" t="s">
        <v>68</v>
      </c>
      <c r="D586" s="1" t="s">
        <v>46</v>
      </c>
      <c r="E586" s="1" t="s">
        <v>2724</v>
      </c>
      <c r="F586" s="1"/>
      <c r="G586" s="1" t="s">
        <v>70</v>
      </c>
      <c r="H586" s="1" t="s">
        <v>93</v>
      </c>
      <c r="I586" s="1">
        <v>1000.0</v>
      </c>
      <c r="J586" s="1"/>
      <c r="K586" s="1"/>
      <c r="L586" s="1" t="s">
        <v>106</v>
      </c>
      <c r="M586" s="1" t="s">
        <v>2725</v>
      </c>
      <c r="N586" s="1" t="s">
        <v>95</v>
      </c>
      <c r="O586" s="1" t="s">
        <v>96</v>
      </c>
      <c r="P586" s="2">
        <v>43804.8694444445</v>
      </c>
      <c r="Q586" s="1" t="s">
        <v>373</v>
      </c>
      <c r="R586" s="1"/>
      <c r="S586" s="1"/>
      <c r="T586" s="1">
        <v>2313609.0</v>
      </c>
      <c r="U586" s="1" t="s">
        <v>2485</v>
      </c>
      <c r="V586" s="1" t="s">
        <v>112</v>
      </c>
      <c r="W586" s="1" t="s">
        <v>113</v>
      </c>
      <c r="X586" s="1"/>
      <c r="Y586" s="1" t="str">
        <f>"02007004106201966"</f>
        <v>02007004106201966</v>
      </c>
      <c r="Z586" s="1" t="s">
        <v>1267</v>
      </c>
      <c r="AA586" s="1" t="s">
        <v>2726</v>
      </c>
      <c r="AB586" s="1" t="str">
        <f>"***262183**"</f>
        <v>***262183**</v>
      </c>
      <c r="AC586" s="1"/>
      <c r="AD586" s="1" t="s">
        <v>116</v>
      </c>
      <c r="AE586" s="1"/>
      <c r="AF586" s="1">
        <v>0.0</v>
      </c>
      <c r="AG586" s="1">
        <v>0.0</v>
      </c>
      <c r="AH586" s="1" t="s">
        <v>1269</v>
      </c>
      <c r="AI586" s="1"/>
      <c r="AJ586" s="1"/>
      <c r="AK586" s="1"/>
      <c r="AL586" s="1" t="s">
        <v>118</v>
      </c>
      <c r="AM586" s="1"/>
      <c r="AN586" s="1"/>
      <c r="AO586" s="2">
        <v>43902.6652430556</v>
      </c>
      <c r="AP586" s="2">
        <v>43902.6652430556</v>
      </c>
      <c r="AQ586" s="1" t="s">
        <v>80</v>
      </c>
      <c r="AR586" s="1" t="s">
        <v>2727</v>
      </c>
      <c r="AS586" s="1"/>
      <c r="AT586" s="2">
        <v>44269.931099537</v>
      </c>
    </row>
    <row r="587" ht="13.5" customHeight="1">
      <c r="A587" s="1"/>
      <c r="B587" s="1" t="s">
        <v>46</v>
      </c>
      <c r="C587" s="1" t="s">
        <v>47</v>
      </c>
      <c r="D587" s="1"/>
      <c r="E587" s="1" t="s">
        <v>2728</v>
      </c>
      <c r="F587" s="1"/>
      <c r="G587" s="1" t="s">
        <v>49</v>
      </c>
      <c r="H587" s="1" t="s">
        <v>93</v>
      </c>
      <c r="I587" s="1">
        <v>20000.0</v>
      </c>
      <c r="J587" s="1"/>
      <c r="K587" s="1" t="s">
        <v>51</v>
      </c>
      <c r="L587" s="1"/>
      <c r="M587" s="1" t="s">
        <v>2729</v>
      </c>
      <c r="N587" s="1" t="s">
        <v>142</v>
      </c>
      <c r="O587" s="1" t="s">
        <v>143</v>
      </c>
      <c r="P587" s="2">
        <v>43804.8643287037</v>
      </c>
      <c r="Q587" s="1" t="s">
        <v>74</v>
      </c>
      <c r="R587" s="3">
        <v>43804.0</v>
      </c>
      <c r="S587" s="1"/>
      <c r="T587" s="1">
        <v>1100080.0</v>
      </c>
      <c r="U587" s="1" t="s">
        <v>1392</v>
      </c>
      <c r="V587" s="1" t="s">
        <v>448</v>
      </c>
      <c r="W587" s="1" t="s">
        <v>177</v>
      </c>
      <c r="X587" s="1"/>
      <c r="Y587" s="1"/>
      <c r="Z587" s="1" t="s">
        <v>147</v>
      </c>
      <c r="AA587" s="1" t="s">
        <v>2730</v>
      </c>
      <c r="AB587" s="1" t="str">
        <f>"***894202**"</f>
        <v>***894202**</v>
      </c>
      <c r="AC587" s="1"/>
      <c r="AD587" s="1" t="s">
        <v>116</v>
      </c>
      <c r="AE587" s="1"/>
      <c r="AF587" s="1">
        <v>-64.044724</v>
      </c>
      <c r="AG587" s="1">
        <v>-12.311666</v>
      </c>
      <c r="AH587" s="1" t="s">
        <v>2731</v>
      </c>
      <c r="AI587" s="1"/>
      <c r="AJ587" s="1" t="s">
        <v>172</v>
      </c>
      <c r="AK587" s="1"/>
      <c r="AL587" s="1"/>
      <c r="AM587" s="1" t="s">
        <v>65</v>
      </c>
      <c r="AN587" s="1" t="s">
        <v>1395</v>
      </c>
      <c r="AO587" s="1"/>
      <c r="AP587" s="2">
        <v>43804.869849537</v>
      </c>
      <c r="AQ587" s="1"/>
      <c r="AR587" s="1" t="s">
        <v>793</v>
      </c>
      <c r="AS587" s="1"/>
      <c r="AT587" s="2">
        <v>44269.931099537</v>
      </c>
    </row>
    <row r="588" ht="13.5" customHeight="1">
      <c r="A588" s="1"/>
      <c r="B588" s="1" t="s">
        <v>46</v>
      </c>
      <c r="C588" s="1" t="s">
        <v>47</v>
      </c>
      <c r="D588" s="1"/>
      <c r="E588" s="1" t="s">
        <v>2732</v>
      </c>
      <c r="F588" s="1"/>
      <c r="G588" s="1" t="s">
        <v>49</v>
      </c>
      <c r="H588" s="1" t="s">
        <v>93</v>
      </c>
      <c r="I588" s="1">
        <v>20000.0</v>
      </c>
      <c r="J588" s="1"/>
      <c r="K588" s="1" t="s">
        <v>51</v>
      </c>
      <c r="L588" s="1"/>
      <c r="M588" s="1" t="s">
        <v>2733</v>
      </c>
      <c r="N588" s="1" t="s">
        <v>142</v>
      </c>
      <c r="O588" s="1" t="s">
        <v>143</v>
      </c>
      <c r="P588" s="2">
        <v>43804.8548958333</v>
      </c>
      <c r="Q588" s="1" t="s">
        <v>74</v>
      </c>
      <c r="R588" s="1"/>
      <c r="S588" s="1"/>
      <c r="T588" s="1">
        <v>1100080.0</v>
      </c>
      <c r="U588" s="1" t="s">
        <v>1392</v>
      </c>
      <c r="V588" s="1" t="s">
        <v>448</v>
      </c>
      <c r="W588" s="1" t="s">
        <v>177</v>
      </c>
      <c r="X588" s="1"/>
      <c r="Y588" s="1"/>
      <c r="Z588" s="1" t="s">
        <v>147</v>
      </c>
      <c r="AA588" s="1" t="s">
        <v>2734</v>
      </c>
      <c r="AB588" s="1" t="str">
        <f>"***358062**"</f>
        <v>***358062**</v>
      </c>
      <c r="AC588" s="1"/>
      <c r="AD588" s="1" t="s">
        <v>149</v>
      </c>
      <c r="AE588" s="1"/>
      <c r="AF588" s="1">
        <v>-64.133057</v>
      </c>
      <c r="AG588" s="1">
        <v>-12.395</v>
      </c>
      <c r="AH588" s="1" t="s">
        <v>2735</v>
      </c>
      <c r="AI588" s="1"/>
      <c r="AJ588" s="1" t="s">
        <v>172</v>
      </c>
      <c r="AK588" s="1"/>
      <c r="AL588" s="1"/>
      <c r="AM588" s="1" t="s">
        <v>65</v>
      </c>
      <c r="AN588" s="1" t="s">
        <v>1395</v>
      </c>
      <c r="AO588" s="1"/>
      <c r="AP588" s="2">
        <v>43804.8581481482</v>
      </c>
      <c r="AQ588" s="1"/>
      <c r="AR588" s="1" t="s">
        <v>793</v>
      </c>
      <c r="AS588" s="1"/>
      <c r="AT588" s="2">
        <v>44269.931099537</v>
      </c>
    </row>
    <row r="589" ht="13.5" customHeight="1">
      <c r="A589" s="1">
        <v>2035408.0</v>
      </c>
      <c r="B589" s="1" t="s">
        <v>67</v>
      </c>
      <c r="C589" s="1" t="s">
        <v>68</v>
      </c>
      <c r="D589" s="1" t="s">
        <v>46</v>
      </c>
      <c r="E589" s="1" t="s">
        <v>2736</v>
      </c>
      <c r="F589" s="1"/>
      <c r="G589" s="1" t="s">
        <v>70</v>
      </c>
      <c r="H589" s="1" t="s">
        <v>93</v>
      </c>
      <c r="I589" s="1">
        <v>5000.0</v>
      </c>
      <c r="J589" s="1"/>
      <c r="K589" s="1"/>
      <c r="L589" s="1" t="s">
        <v>106</v>
      </c>
      <c r="M589" s="1" t="s">
        <v>2737</v>
      </c>
      <c r="N589" s="1" t="s">
        <v>95</v>
      </c>
      <c r="O589" s="1" t="s">
        <v>96</v>
      </c>
      <c r="P589" s="2">
        <v>43804.8520833333</v>
      </c>
      <c r="Q589" s="1" t="s">
        <v>373</v>
      </c>
      <c r="R589" s="1"/>
      <c r="S589" s="1"/>
      <c r="T589" s="1">
        <v>2313609.0</v>
      </c>
      <c r="U589" s="1" t="s">
        <v>2485</v>
      </c>
      <c r="V589" s="1" t="s">
        <v>112</v>
      </c>
      <c r="W589" s="1" t="s">
        <v>113</v>
      </c>
      <c r="X589" s="1"/>
      <c r="Y589" s="1" t="str">
        <f>"02007004070201911"</f>
        <v>02007004070201911</v>
      </c>
      <c r="Z589" s="1" t="s">
        <v>1267</v>
      </c>
      <c r="AA589" s="1" t="s">
        <v>2738</v>
      </c>
      <c r="AB589" s="1" t="str">
        <f>"***684913**"</f>
        <v>***684913**</v>
      </c>
      <c r="AC589" s="1"/>
      <c r="AD589" s="1" t="s">
        <v>116</v>
      </c>
      <c r="AE589" s="1"/>
      <c r="AF589" s="1">
        <v>0.0</v>
      </c>
      <c r="AG589" s="1">
        <v>0.0</v>
      </c>
      <c r="AH589" s="1" t="s">
        <v>2739</v>
      </c>
      <c r="AI589" s="1"/>
      <c r="AJ589" s="1"/>
      <c r="AK589" s="1"/>
      <c r="AL589" s="1" t="s">
        <v>118</v>
      </c>
      <c r="AM589" s="1"/>
      <c r="AN589" s="1"/>
      <c r="AO589" s="2">
        <v>43902.6540162037</v>
      </c>
      <c r="AP589" s="2">
        <v>43902.6540162037</v>
      </c>
      <c r="AQ589" s="1" t="s">
        <v>80</v>
      </c>
      <c r="AR589" s="1" t="s">
        <v>1301</v>
      </c>
      <c r="AS589" s="1"/>
      <c r="AT589" s="2">
        <v>44269.931099537</v>
      </c>
    </row>
    <row r="590" ht="13.5" customHeight="1">
      <c r="A590" s="1"/>
      <c r="B590" s="1" t="s">
        <v>46</v>
      </c>
      <c r="C590" s="1" t="s">
        <v>47</v>
      </c>
      <c r="D590" s="1"/>
      <c r="E590" s="1" t="s">
        <v>2740</v>
      </c>
      <c r="F590" s="1"/>
      <c r="G590" s="1" t="s">
        <v>49</v>
      </c>
      <c r="H590" s="1" t="s">
        <v>50</v>
      </c>
      <c r="I590" s="1">
        <v>100000.0</v>
      </c>
      <c r="J590" s="1"/>
      <c r="K590" s="1" t="s">
        <v>51</v>
      </c>
      <c r="L590" s="1"/>
      <c r="M590" s="1" t="s">
        <v>2741</v>
      </c>
      <c r="N590" s="1" t="s">
        <v>283</v>
      </c>
      <c r="O590" s="1" t="s">
        <v>1133</v>
      </c>
      <c r="P590" s="2">
        <v>43804.8458449074</v>
      </c>
      <c r="Q590" s="1" t="s">
        <v>74</v>
      </c>
      <c r="R590" s="1"/>
      <c r="S590" s="1"/>
      <c r="T590" s="1">
        <v>3302403.0</v>
      </c>
      <c r="U590" s="1" t="s">
        <v>1371</v>
      </c>
      <c r="V590" s="1" t="s">
        <v>287</v>
      </c>
      <c r="W590" s="1" t="s">
        <v>288</v>
      </c>
      <c r="X590" s="1"/>
      <c r="Y590" s="1"/>
      <c r="Z590" s="1" t="s">
        <v>128</v>
      </c>
      <c r="AA590" s="1" t="s">
        <v>289</v>
      </c>
      <c r="AB590" s="1" t="str">
        <f t="shared" ref="AB590:AB591" si="28">"33000167000101"</f>
        <v>33000167000101</v>
      </c>
      <c r="AC590" s="1"/>
      <c r="AD590" s="1" t="s">
        <v>149</v>
      </c>
      <c r="AE590" s="1"/>
      <c r="AF590" s="1">
        <v>-40.411392</v>
      </c>
      <c r="AG590" s="1">
        <v>-22.450001</v>
      </c>
      <c r="AH590" s="1" t="s">
        <v>1484</v>
      </c>
      <c r="AI590" s="1"/>
      <c r="AJ590" s="1" t="s">
        <v>172</v>
      </c>
      <c r="AK590" s="1"/>
      <c r="AL590" s="1"/>
      <c r="AM590" s="1" t="s">
        <v>65</v>
      </c>
      <c r="AN590" s="1" t="s">
        <v>720</v>
      </c>
      <c r="AO590" s="1"/>
      <c r="AP590" s="2">
        <v>44013.7211342593</v>
      </c>
      <c r="AQ590" s="1"/>
      <c r="AR590" s="1" t="s">
        <v>1360</v>
      </c>
      <c r="AS590" s="1" t="s">
        <v>1361</v>
      </c>
      <c r="AT590" s="2">
        <v>44269.931099537</v>
      </c>
    </row>
    <row r="591" ht="13.5" customHeight="1">
      <c r="A591" s="1"/>
      <c r="B591" s="1" t="s">
        <v>46</v>
      </c>
      <c r="C591" s="1" t="s">
        <v>47</v>
      </c>
      <c r="D591" s="1"/>
      <c r="E591" s="1" t="s">
        <v>2742</v>
      </c>
      <c r="F591" s="1"/>
      <c r="G591" s="1" t="s">
        <v>49</v>
      </c>
      <c r="H591" s="1" t="s">
        <v>50</v>
      </c>
      <c r="I591" s="1">
        <v>200000.0</v>
      </c>
      <c r="J591" s="1"/>
      <c r="K591" s="1" t="s">
        <v>51</v>
      </c>
      <c r="L591" s="1"/>
      <c r="M591" s="1" t="s">
        <v>2743</v>
      </c>
      <c r="N591" s="1" t="s">
        <v>283</v>
      </c>
      <c r="O591" s="1" t="s">
        <v>1133</v>
      </c>
      <c r="P591" s="2">
        <v>43804.8390046296</v>
      </c>
      <c r="Q591" s="1" t="s">
        <v>74</v>
      </c>
      <c r="R591" s="1"/>
      <c r="S591" s="1"/>
      <c r="T591" s="1">
        <v>3302403.0</v>
      </c>
      <c r="U591" s="1" t="s">
        <v>1371</v>
      </c>
      <c r="V591" s="1" t="s">
        <v>287</v>
      </c>
      <c r="W591" s="1" t="s">
        <v>288</v>
      </c>
      <c r="X591" s="1"/>
      <c r="Y591" s="1"/>
      <c r="Z591" s="1" t="s">
        <v>128</v>
      </c>
      <c r="AA591" s="1" t="s">
        <v>289</v>
      </c>
      <c r="AB591" s="1" t="str">
        <f t="shared" si="28"/>
        <v>33000167000101</v>
      </c>
      <c r="AC591" s="1"/>
      <c r="AD591" s="1" t="s">
        <v>149</v>
      </c>
      <c r="AE591" s="1"/>
      <c r="AF591" s="1">
        <v>-40.411392</v>
      </c>
      <c r="AG591" s="1">
        <v>-22.450001</v>
      </c>
      <c r="AH591" s="1" t="s">
        <v>1484</v>
      </c>
      <c r="AI591" s="1"/>
      <c r="AJ591" s="1" t="s">
        <v>172</v>
      </c>
      <c r="AK591" s="1"/>
      <c r="AL591" s="1"/>
      <c r="AM591" s="1" t="s">
        <v>65</v>
      </c>
      <c r="AN591" s="1" t="s">
        <v>720</v>
      </c>
      <c r="AO591" s="1"/>
      <c r="AP591" s="2">
        <v>44013.7212268519</v>
      </c>
      <c r="AQ591" s="1"/>
      <c r="AR591" s="1" t="s">
        <v>1360</v>
      </c>
      <c r="AS591" s="1" t="s">
        <v>1361</v>
      </c>
      <c r="AT591" s="2">
        <v>44269.931099537</v>
      </c>
    </row>
    <row r="592" ht="13.5" customHeight="1">
      <c r="A592" s="1"/>
      <c r="B592" s="1" t="s">
        <v>46</v>
      </c>
      <c r="C592" s="1" t="s">
        <v>47</v>
      </c>
      <c r="D592" s="1"/>
      <c r="E592" s="1" t="s">
        <v>2744</v>
      </c>
      <c r="F592" s="1"/>
      <c r="G592" s="1" t="s">
        <v>49</v>
      </c>
      <c r="H592" s="1" t="s">
        <v>50</v>
      </c>
      <c r="I592" s="1">
        <v>900000.0</v>
      </c>
      <c r="J592" s="1"/>
      <c r="K592" s="1" t="s">
        <v>140</v>
      </c>
      <c r="L592" s="1"/>
      <c r="M592" s="1" t="s">
        <v>2745</v>
      </c>
      <c r="N592" s="1" t="s">
        <v>142</v>
      </c>
      <c r="O592" s="1" t="s">
        <v>143</v>
      </c>
      <c r="P592" s="2">
        <v>43804.8358796296</v>
      </c>
      <c r="Q592" s="1" t="s">
        <v>74</v>
      </c>
      <c r="R592" s="1"/>
      <c r="S592" s="1"/>
      <c r="T592" s="1">
        <v>1100080.0</v>
      </c>
      <c r="U592" s="1" t="s">
        <v>1392</v>
      </c>
      <c r="V592" s="1" t="s">
        <v>448</v>
      </c>
      <c r="W592" s="1" t="s">
        <v>177</v>
      </c>
      <c r="X592" s="1"/>
      <c r="Y592" s="1"/>
      <c r="Z592" s="1" t="s">
        <v>147</v>
      </c>
      <c r="AA592" s="1" t="s">
        <v>2746</v>
      </c>
      <c r="AB592" s="1" t="str">
        <f>"***559692**"</f>
        <v>***559692**</v>
      </c>
      <c r="AC592" s="1"/>
      <c r="AD592" s="1" t="s">
        <v>149</v>
      </c>
      <c r="AE592" s="1"/>
      <c r="AF592" s="1">
        <v>-64.102051</v>
      </c>
      <c r="AG592" s="1">
        <v>-12.383056</v>
      </c>
      <c r="AH592" s="1" t="s">
        <v>2747</v>
      </c>
      <c r="AI592" s="1"/>
      <c r="AJ592" s="1" t="s">
        <v>172</v>
      </c>
      <c r="AK592" s="1"/>
      <c r="AL592" s="1"/>
      <c r="AM592" s="1" t="s">
        <v>65</v>
      </c>
      <c r="AN592" s="1" t="s">
        <v>1395</v>
      </c>
      <c r="AO592" s="1"/>
      <c r="AP592" s="2">
        <v>44057.5869675926</v>
      </c>
      <c r="AQ592" s="1"/>
      <c r="AR592" s="1" t="s">
        <v>793</v>
      </c>
      <c r="AS592" s="1"/>
      <c r="AT592" s="2">
        <v>44269.931099537</v>
      </c>
    </row>
    <row r="593" ht="13.5" customHeight="1">
      <c r="A593" s="1"/>
      <c r="B593" s="1" t="s">
        <v>46</v>
      </c>
      <c r="C593" s="1" t="s">
        <v>47</v>
      </c>
      <c r="D593" s="1"/>
      <c r="E593" s="1" t="s">
        <v>2748</v>
      </c>
      <c r="F593" s="1"/>
      <c r="G593" s="1" t="s">
        <v>49</v>
      </c>
      <c r="H593" s="1" t="s">
        <v>93</v>
      </c>
      <c r="I593" s="1">
        <v>89650.0</v>
      </c>
      <c r="J593" s="1"/>
      <c r="K593" s="1"/>
      <c r="L593" s="1"/>
      <c r="M593" s="1" t="s">
        <v>2749</v>
      </c>
      <c r="N593" s="1" t="s">
        <v>142</v>
      </c>
      <c r="O593" s="1" t="s">
        <v>143</v>
      </c>
      <c r="P593" s="2">
        <v>43804.8290509259</v>
      </c>
      <c r="Q593" s="1" t="s">
        <v>373</v>
      </c>
      <c r="R593" s="1"/>
      <c r="S593" s="1"/>
      <c r="T593" s="1">
        <v>1101492.0</v>
      </c>
      <c r="U593" s="1" t="s">
        <v>2181</v>
      </c>
      <c r="V593" s="1" t="s">
        <v>448</v>
      </c>
      <c r="W593" s="1" t="s">
        <v>177</v>
      </c>
      <c r="X593" s="1"/>
      <c r="Y593" s="1"/>
      <c r="Z593" s="1" t="s">
        <v>147</v>
      </c>
      <c r="AA593" s="1" t="s">
        <v>2750</v>
      </c>
      <c r="AB593" s="1" t="str">
        <f>"***732962**"</f>
        <v>***732962**</v>
      </c>
      <c r="AC593" s="1"/>
      <c r="AD593" s="1" t="s">
        <v>116</v>
      </c>
      <c r="AE593" s="1"/>
      <c r="AF593" s="1">
        <v>-63.743057</v>
      </c>
      <c r="AG593" s="1">
        <v>-12.2425</v>
      </c>
      <c r="AH593" s="1" t="s">
        <v>2751</v>
      </c>
      <c r="AI593" s="1"/>
      <c r="AJ593" s="1" t="s">
        <v>172</v>
      </c>
      <c r="AK593" s="1"/>
      <c r="AL593" s="1"/>
      <c r="AM593" s="1" t="s">
        <v>65</v>
      </c>
      <c r="AN593" s="1" t="s">
        <v>1395</v>
      </c>
      <c r="AO593" s="1"/>
      <c r="AP593" s="2">
        <v>43804.8684837963</v>
      </c>
      <c r="AQ593" s="1"/>
      <c r="AR593" s="1" t="s">
        <v>644</v>
      </c>
      <c r="AS593" s="1" t="s">
        <v>2752</v>
      </c>
      <c r="AT593" s="2">
        <v>44269.931099537</v>
      </c>
    </row>
    <row r="594" ht="13.5" customHeight="1">
      <c r="A594" s="1"/>
      <c r="B594" s="1" t="s">
        <v>46</v>
      </c>
      <c r="C594" s="1" t="s">
        <v>47</v>
      </c>
      <c r="D594" s="1"/>
      <c r="E594" s="1" t="s">
        <v>2753</v>
      </c>
      <c r="F594" s="1"/>
      <c r="G594" s="1" t="s">
        <v>49</v>
      </c>
      <c r="H594" s="1" t="s">
        <v>93</v>
      </c>
      <c r="I594" s="1">
        <v>20000.0</v>
      </c>
      <c r="J594" s="1"/>
      <c r="K594" s="1" t="s">
        <v>51</v>
      </c>
      <c r="L594" s="1"/>
      <c r="M594" s="1" t="s">
        <v>2754</v>
      </c>
      <c r="N594" s="1" t="s">
        <v>142</v>
      </c>
      <c r="O594" s="1" t="s">
        <v>143</v>
      </c>
      <c r="P594" s="2">
        <v>43804.828912037</v>
      </c>
      <c r="Q594" s="1" t="s">
        <v>74</v>
      </c>
      <c r="R594" s="1"/>
      <c r="S594" s="1"/>
      <c r="T594" s="1">
        <v>1100080.0</v>
      </c>
      <c r="U594" s="1" t="s">
        <v>1392</v>
      </c>
      <c r="V594" s="1" t="s">
        <v>448</v>
      </c>
      <c r="W594" s="1" t="s">
        <v>177</v>
      </c>
      <c r="X594" s="1"/>
      <c r="Y594" s="1"/>
      <c r="Z594" s="1" t="s">
        <v>147</v>
      </c>
      <c r="AA594" s="1" t="s">
        <v>2755</v>
      </c>
      <c r="AB594" s="1" t="str">
        <f>"***628262**"</f>
        <v>***628262**</v>
      </c>
      <c r="AC594" s="1"/>
      <c r="AD594" s="1" t="s">
        <v>149</v>
      </c>
      <c r="AE594" s="1"/>
      <c r="AF594" s="1">
        <v>-64.223885</v>
      </c>
      <c r="AG594" s="1">
        <v>-12.401388</v>
      </c>
      <c r="AH594" s="1" t="s">
        <v>2756</v>
      </c>
      <c r="AI594" s="1"/>
      <c r="AJ594" s="1" t="s">
        <v>172</v>
      </c>
      <c r="AK594" s="1"/>
      <c r="AL594" s="1"/>
      <c r="AM594" s="1" t="s">
        <v>65</v>
      </c>
      <c r="AN594" s="1" t="s">
        <v>1395</v>
      </c>
      <c r="AO594" s="1"/>
      <c r="AP594" s="2">
        <v>43804.8370717593</v>
      </c>
      <c r="AQ594" s="1"/>
      <c r="AR594" s="1" t="s">
        <v>793</v>
      </c>
      <c r="AS594" s="1"/>
      <c r="AT594" s="2">
        <v>44269.931099537</v>
      </c>
    </row>
    <row r="595" ht="13.5" customHeight="1">
      <c r="A595" s="1"/>
      <c r="B595" s="1" t="s">
        <v>46</v>
      </c>
      <c r="C595" s="1" t="s">
        <v>47</v>
      </c>
      <c r="D595" s="1"/>
      <c r="E595" s="1" t="s">
        <v>2757</v>
      </c>
      <c r="F595" s="1"/>
      <c r="G595" s="1" t="s">
        <v>49</v>
      </c>
      <c r="H595" s="1" t="s">
        <v>50</v>
      </c>
      <c r="I595" s="1">
        <v>100000.0</v>
      </c>
      <c r="J595" s="1"/>
      <c r="K595" s="1" t="s">
        <v>51</v>
      </c>
      <c r="L595" s="1"/>
      <c r="M595" s="1" t="s">
        <v>2758</v>
      </c>
      <c r="N595" s="1" t="s">
        <v>283</v>
      </c>
      <c r="O595" s="1" t="s">
        <v>1133</v>
      </c>
      <c r="P595" s="2">
        <v>43804.8230208333</v>
      </c>
      <c r="Q595" s="1" t="s">
        <v>74</v>
      </c>
      <c r="R595" s="1"/>
      <c r="S595" s="1"/>
      <c r="T595" s="1">
        <v>3302403.0</v>
      </c>
      <c r="U595" s="1" t="s">
        <v>1371</v>
      </c>
      <c r="V595" s="1" t="s">
        <v>287</v>
      </c>
      <c r="W595" s="1" t="s">
        <v>288</v>
      </c>
      <c r="X595" s="1"/>
      <c r="Y595" s="1"/>
      <c r="Z595" s="1" t="s">
        <v>128</v>
      </c>
      <c r="AA595" s="1" t="s">
        <v>289</v>
      </c>
      <c r="AB595" s="1" t="str">
        <f t="shared" ref="AB595:AB596" si="29">"33000167000101"</f>
        <v>33000167000101</v>
      </c>
      <c r="AC595" s="1"/>
      <c r="AD595" s="1" t="s">
        <v>149</v>
      </c>
      <c r="AE595" s="1"/>
      <c r="AF595" s="1">
        <v>-40.331665</v>
      </c>
      <c r="AG595" s="1">
        <v>-22.254168</v>
      </c>
      <c r="AH595" s="1" t="s">
        <v>2130</v>
      </c>
      <c r="AI595" s="1"/>
      <c r="AJ595" s="1" t="s">
        <v>172</v>
      </c>
      <c r="AK595" s="1"/>
      <c r="AL595" s="1"/>
      <c r="AM595" s="1" t="s">
        <v>65</v>
      </c>
      <c r="AN595" s="1" t="s">
        <v>720</v>
      </c>
      <c r="AO595" s="1"/>
      <c r="AP595" s="2">
        <v>44013.7213078704</v>
      </c>
      <c r="AQ595" s="1"/>
      <c r="AR595" s="1" t="s">
        <v>1360</v>
      </c>
      <c r="AS595" s="1" t="s">
        <v>1361</v>
      </c>
      <c r="AT595" s="2">
        <v>44269.931099537</v>
      </c>
    </row>
    <row r="596" ht="13.5" customHeight="1">
      <c r="A596" s="1"/>
      <c r="B596" s="1" t="s">
        <v>46</v>
      </c>
      <c r="C596" s="1" t="s">
        <v>47</v>
      </c>
      <c r="D596" s="1"/>
      <c r="E596" s="1" t="s">
        <v>2759</v>
      </c>
      <c r="F596" s="1"/>
      <c r="G596" s="1" t="s">
        <v>49</v>
      </c>
      <c r="H596" s="1" t="s">
        <v>50</v>
      </c>
      <c r="I596" s="1">
        <v>300000.0</v>
      </c>
      <c r="J596" s="1"/>
      <c r="K596" s="1" t="s">
        <v>51</v>
      </c>
      <c r="L596" s="1"/>
      <c r="M596" s="1" t="s">
        <v>2760</v>
      </c>
      <c r="N596" s="1" t="s">
        <v>283</v>
      </c>
      <c r="O596" s="1" t="s">
        <v>1133</v>
      </c>
      <c r="P596" s="2">
        <v>43804.8004861111</v>
      </c>
      <c r="Q596" s="1" t="s">
        <v>74</v>
      </c>
      <c r="R596" s="1"/>
      <c r="S596" s="1"/>
      <c r="T596" s="1">
        <v>3302403.0</v>
      </c>
      <c r="U596" s="1" t="s">
        <v>1371</v>
      </c>
      <c r="V596" s="1" t="s">
        <v>287</v>
      </c>
      <c r="W596" s="1" t="s">
        <v>288</v>
      </c>
      <c r="X596" s="1"/>
      <c r="Y596" s="1"/>
      <c r="Z596" s="1" t="s">
        <v>128</v>
      </c>
      <c r="AA596" s="1" t="s">
        <v>289</v>
      </c>
      <c r="AB596" s="1" t="str">
        <f t="shared" si="29"/>
        <v>33000167000101</v>
      </c>
      <c r="AC596" s="1"/>
      <c r="AD596" s="1" t="s">
        <v>149</v>
      </c>
      <c r="AE596" s="1"/>
      <c r="AF596" s="1">
        <v>-39.737221</v>
      </c>
      <c r="AG596" s="1">
        <v>-21.904999</v>
      </c>
      <c r="AH596" s="1" t="s">
        <v>2761</v>
      </c>
      <c r="AI596" s="1"/>
      <c r="AJ596" s="1" t="s">
        <v>172</v>
      </c>
      <c r="AK596" s="1"/>
      <c r="AL596" s="1"/>
      <c r="AM596" s="1" t="s">
        <v>65</v>
      </c>
      <c r="AN596" s="1" t="s">
        <v>720</v>
      </c>
      <c r="AO596" s="1"/>
      <c r="AP596" s="2">
        <v>44013.721412037</v>
      </c>
      <c r="AQ596" s="1"/>
      <c r="AR596" s="1" t="s">
        <v>1360</v>
      </c>
      <c r="AS596" s="1" t="s">
        <v>1361</v>
      </c>
      <c r="AT596" s="2">
        <v>44269.931099537</v>
      </c>
    </row>
    <row r="597" ht="13.5" customHeight="1">
      <c r="A597" s="1"/>
      <c r="B597" s="1" t="s">
        <v>46</v>
      </c>
      <c r="C597" s="1" t="s">
        <v>47</v>
      </c>
      <c r="D597" s="1"/>
      <c r="E597" s="1" t="s">
        <v>2762</v>
      </c>
      <c r="F597" s="1"/>
      <c r="G597" s="1" t="s">
        <v>49</v>
      </c>
      <c r="H597" s="1" t="s">
        <v>93</v>
      </c>
      <c r="I597" s="1">
        <v>20000.0</v>
      </c>
      <c r="J597" s="1"/>
      <c r="K597" s="1" t="s">
        <v>51</v>
      </c>
      <c r="L597" s="1"/>
      <c r="M597" s="1" t="s">
        <v>2763</v>
      </c>
      <c r="N597" s="1" t="s">
        <v>123</v>
      </c>
      <c r="O597" s="1" t="s">
        <v>73</v>
      </c>
      <c r="P597" s="2">
        <v>43804.799212963</v>
      </c>
      <c r="Q597" s="1" t="s">
        <v>74</v>
      </c>
      <c r="R597" s="1"/>
      <c r="S597" s="1"/>
      <c r="T597" s="1">
        <v>1100080.0</v>
      </c>
      <c r="U597" s="1" t="s">
        <v>1392</v>
      </c>
      <c r="V597" s="1" t="s">
        <v>448</v>
      </c>
      <c r="W597" s="1" t="s">
        <v>177</v>
      </c>
      <c r="X597" s="1"/>
      <c r="Y597" s="1"/>
      <c r="Z597" s="1" t="s">
        <v>76</v>
      </c>
      <c r="AA597" s="1" t="s">
        <v>2764</v>
      </c>
      <c r="AB597" s="1" t="str">
        <f>"***335909**"</f>
        <v>***335909**</v>
      </c>
      <c r="AC597" s="1"/>
      <c r="AD597" s="1" t="s">
        <v>149</v>
      </c>
      <c r="AE597" s="1"/>
      <c r="AF597" s="1">
        <v>-64.228607</v>
      </c>
      <c r="AG597" s="1">
        <v>-12.389722</v>
      </c>
      <c r="AH597" s="1" t="s">
        <v>2765</v>
      </c>
      <c r="AI597" s="1"/>
      <c r="AJ597" s="1" t="s">
        <v>172</v>
      </c>
      <c r="AK597" s="1"/>
      <c r="AL597" s="1"/>
      <c r="AM597" s="1" t="s">
        <v>65</v>
      </c>
      <c r="AN597" s="1" t="s">
        <v>1395</v>
      </c>
      <c r="AO597" s="1"/>
      <c r="AP597" s="2">
        <v>43804.8028703704</v>
      </c>
      <c r="AQ597" s="1"/>
      <c r="AR597" s="1" t="s">
        <v>793</v>
      </c>
      <c r="AS597" s="1"/>
      <c r="AT597" s="2">
        <v>44269.931099537</v>
      </c>
    </row>
    <row r="598" ht="13.5" customHeight="1">
      <c r="A598" s="1">
        <v>2035120.0</v>
      </c>
      <c r="B598" s="1" t="s">
        <v>67</v>
      </c>
      <c r="C598" s="1" t="s">
        <v>68</v>
      </c>
      <c r="D598" s="1" t="s">
        <v>46</v>
      </c>
      <c r="E598" s="1" t="s">
        <v>2766</v>
      </c>
      <c r="F598" s="1"/>
      <c r="G598" s="1" t="s">
        <v>70</v>
      </c>
      <c r="H598" s="1" t="s">
        <v>93</v>
      </c>
      <c r="I598" s="1">
        <v>2500.0</v>
      </c>
      <c r="J598" s="1"/>
      <c r="K598" s="1"/>
      <c r="L598" s="1" t="s">
        <v>106</v>
      </c>
      <c r="M598" s="1" t="s">
        <v>2767</v>
      </c>
      <c r="N598" s="1" t="s">
        <v>95</v>
      </c>
      <c r="O598" s="1" t="s">
        <v>96</v>
      </c>
      <c r="P598" s="2">
        <v>43804.7958333333</v>
      </c>
      <c r="Q598" s="1" t="s">
        <v>373</v>
      </c>
      <c r="R598" s="1"/>
      <c r="S598" s="1"/>
      <c r="T598" s="1">
        <v>2313609.0</v>
      </c>
      <c r="U598" s="1" t="s">
        <v>2485</v>
      </c>
      <c r="V598" s="1" t="s">
        <v>112</v>
      </c>
      <c r="W598" s="1" t="s">
        <v>113</v>
      </c>
      <c r="X598" s="1"/>
      <c r="Y598" s="1" t="str">
        <f>"02007004068201941"</f>
        <v>02007004068201941</v>
      </c>
      <c r="Z598" s="1" t="s">
        <v>1848</v>
      </c>
      <c r="AA598" s="1" t="s">
        <v>2738</v>
      </c>
      <c r="AB598" s="1" t="str">
        <f>"***684913**"</f>
        <v>***684913**</v>
      </c>
      <c r="AC598" s="1"/>
      <c r="AD598" s="1" t="s">
        <v>116</v>
      </c>
      <c r="AE598" s="1"/>
      <c r="AF598" s="1">
        <v>0.0</v>
      </c>
      <c r="AG598" s="1">
        <v>0.0</v>
      </c>
      <c r="AH598" s="1" t="s">
        <v>1269</v>
      </c>
      <c r="AI598" s="1"/>
      <c r="AJ598" s="1"/>
      <c r="AK598" s="1"/>
      <c r="AL598" s="1" t="s">
        <v>118</v>
      </c>
      <c r="AM598" s="1"/>
      <c r="AN598" s="1"/>
      <c r="AO598" s="2">
        <v>43895.4435416667</v>
      </c>
      <c r="AP598" s="2">
        <v>43895.4435416667</v>
      </c>
      <c r="AQ598" s="1" t="s">
        <v>80</v>
      </c>
      <c r="AR598" s="1" t="s">
        <v>1270</v>
      </c>
      <c r="AS598" s="1"/>
      <c r="AT598" s="2">
        <v>44269.931099537</v>
      </c>
    </row>
    <row r="599" ht="13.5" customHeight="1">
      <c r="A599" s="1"/>
      <c r="B599" s="1" t="s">
        <v>46</v>
      </c>
      <c r="C599" s="1" t="s">
        <v>47</v>
      </c>
      <c r="D599" s="1"/>
      <c r="E599" s="1" t="s">
        <v>2768</v>
      </c>
      <c r="F599" s="1"/>
      <c r="G599" s="1" t="s">
        <v>49</v>
      </c>
      <c r="H599" s="1" t="s">
        <v>93</v>
      </c>
      <c r="I599" s="1">
        <v>61000.0</v>
      </c>
      <c r="J599" s="1"/>
      <c r="K599" s="1" t="s">
        <v>51</v>
      </c>
      <c r="L599" s="1"/>
      <c r="M599" s="1" t="s">
        <v>2769</v>
      </c>
      <c r="N599" s="1" t="s">
        <v>142</v>
      </c>
      <c r="O599" s="1" t="s">
        <v>143</v>
      </c>
      <c r="P599" s="2">
        <v>43804.7914236111</v>
      </c>
      <c r="Q599" s="1" t="s">
        <v>74</v>
      </c>
      <c r="R599" s="3">
        <v>43804.0</v>
      </c>
      <c r="S599" s="1"/>
      <c r="T599" s="1">
        <v>1100080.0</v>
      </c>
      <c r="U599" s="1" t="s">
        <v>1392</v>
      </c>
      <c r="V599" s="1" t="s">
        <v>448</v>
      </c>
      <c r="W599" s="1" t="s">
        <v>177</v>
      </c>
      <c r="X599" s="1"/>
      <c r="Y599" s="1"/>
      <c r="Z599" s="1" t="s">
        <v>147</v>
      </c>
      <c r="AA599" s="1" t="s">
        <v>2770</v>
      </c>
      <c r="AB599" s="1" t="str">
        <f>"***093362**"</f>
        <v>***093362**</v>
      </c>
      <c r="AC599" s="1"/>
      <c r="AD599" s="1" t="s">
        <v>116</v>
      </c>
      <c r="AE599" s="1"/>
      <c r="AF599" s="1">
        <v>-64.044998</v>
      </c>
      <c r="AG599" s="1">
        <v>-12.452778</v>
      </c>
      <c r="AH599" s="1" t="s">
        <v>2771</v>
      </c>
      <c r="AI599" s="1"/>
      <c r="AJ599" s="1" t="s">
        <v>172</v>
      </c>
      <c r="AK599" s="1"/>
      <c r="AL599" s="1"/>
      <c r="AM599" s="1" t="s">
        <v>65</v>
      </c>
      <c r="AN599" s="1" t="s">
        <v>1395</v>
      </c>
      <c r="AO599" s="1"/>
      <c r="AP599" s="2">
        <v>43804.7977199074</v>
      </c>
      <c r="AQ599" s="1"/>
      <c r="AR599" s="1" t="s">
        <v>793</v>
      </c>
      <c r="AS599" s="1"/>
      <c r="AT599" s="2">
        <v>44269.931099537</v>
      </c>
    </row>
    <row r="600" ht="13.5" customHeight="1">
      <c r="A600" s="1"/>
      <c r="B600" s="1" t="s">
        <v>46</v>
      </c>
      <c r="C600" s="1" t="s">
        <v>47</v>
      </c>
      <c r="D600" s="1"/>
      <c r="E600" s="1" t="s">
        <v>2772</v>
      </c>
      <c r="F600" s="1"/>
      <c r="G600" s="1" t="s">
        <v>49</v>
      </c>
      <c r="H600" s="1" t="s">
        <v>93</v>
      </c>
      <c r="I600" s="1">
        <v>61000.0</v>
      </c>
      <c r="J600" s="1"/>
      <c r="K600" s="1" t="s">
        <v>140</v>
      </c>
      <c r="L600" s="1"/>
      <c r="M600" s="1" t="s">
        <v>2773</v>
      </c>
      <c r="N600" s="1" t="s">
        <v>123</v>
      </c>
      <c r="O600" s="1" t="s">
        <v>73</v>
      </c>
      <c r="P600" s="2">
        <v>43804.7769907407</v>
      </c>
      <c r="Q600" s="1" t="s">
        <v>74</v>
      </c>
      <c r="R600" s="1"/>
      <c r="S600" s="1"/>
      <c r="T600" s="1">
        <v>1100080.0</v>
      </c>
      <c r="U600" s="1" t="s">
        <v>1392</v>
      </c>
      <c r="V600" s="1" t="s">
        <v>448</v>
      </c>
      <c r="W600" s="1" t="s">
        <v>177</v>
      </c>
      <c r="X600" s="1"/>
      <c r="Y600" s="1"/>
      <c r="Z600" s="1" t="s">
        <v>76</v>
      </c>
      <c r="AA600" s="1" t="s">
        <v>2774</v>
      </c>
      <c r="AB600" s="1" t="str">
        <f>"***084042**"</f>
        <v>***084042**</v>
      </c>
      <c r="AC600" s="1"/>
      <c r="AD600" s="1" t="s">
        <v>149</v>
      </c>
      <c r="AE600" s="1"/>
      <c r="AF600" s="1">
        <v>-64.110275</v>
      </c>
      <c r="AG600" s="1">
        <v>-12.410555</v>
      </c>
      <c r="AH600" s="1" t="s">
        <v>2775</v>
      </c>
      <c r="AI600" s="1"/>
      <c r="AJ600" s="1" t="s">
        <v>172</v>
      </c>
      <c r="AK600" s="1"/>
      <c r="AL600" s="1"/>
      <c r="AM600" s="1" t="s">
        <v>65</v>
      </c>
      <c r="AN600" s="1" t="s">
        <v>1395</v>
      </c>
      <c r="AO600" s="1"/>
      <c r="AP600" s="2">
        <v>43804.785462963</v>
      </c>
      <c r="AQ600" s="1"/>
      <c r="AR600" s="1" t="s">
        <v>793</v>
      </c>
      <c r="AS600" s="1"/>
      <c r="AT600" s="2">
        <v>44269.931099537</v>
      </c>
    </row>
    <row r="601" ht="13.5" customHeight="1">
      <c r="A601" s="1"/>
      <c r="B601" s="1" t="s">
        <v>46</v>
      </c>
      <c r="C601" s="1" t="s">
        <v>47</v>
      </c>
      <c r="D601" s="1"/>
      <c r="E601" s="1" t="s">
        <v>2776</v>
      </c>
      <c r="F601" s="1"/>
      <c r="G601" s="1" t="s">
        <v>49</v>
      </c>
      <c r="H601" s="1" t="s">
        <v>93</v>
      </c>
      <c r="I601" s="1">
        <v>43100.0</v>
      </c>
      <c r="J601" s="1"/>
      <c r="K601" s="1" t="s">
        <v>51</v>
      </c>
      <c r="L601" s="1"/>
      <c r="M601" s="1" t="s">
        <v>2777</v>
      </c>
      <c r="N601" s="1" t="s">
        <v>53</v>
      </c>
      <c r="O601" s="1" t="s">
        <v>54</v>
      </c>
      <c r="P601" s="2">
        <v>43804.7741319444</v>
      </c>
      <c r="Q601" s="1" t="s">
        <v>74</v>
      </c>
      <c r="R601" s="3">
        <v>43804.0</v>
      </c>
      <c r="S601" s="1"/>
      <c r="T601" s="1">
        <v>1600279.0</v>
      </c>
      <c r="U601" s="1" t="s">
        <v>2778</v>
      </c>
      <c r="V601" s="1" t="s">
        <v>797</v>
      </c>
      <c r="W601" s="1" t="s">
        <v>177</v>
      </c>
      <c r="X601" s="1"/>
      <c r="Y601" s="1"/>
      <c r="Z601" s="1" t="s">
        <v>60</v>
      </c>
      <c r="AA601" s="1" t="s">
        <v>2779</v>
      </c>
      <c r="AB601" s="1" t="str">
        <f>"07052341000150"</f>
        <v>07052341000150</v>
      </c>
      <c r="AC601" s="1"/>
      <c r="AD601" s="1" t="s">
        <v>62</v>
      </c>
      <c r="AE601" s="1"/>
      <c r="AF601" s="1">
        <v>-51.791668</v>
      </c>
      <c r="AG601" s="1">
        <v>-1.123333</v>
      </c>
      <c r="AH601" s="1" t="s">
        <v>2780</v>
      </c>
      <c r="AI601" s="1"/>
      <c r="AJ601" s="1" t="s">
        <v>800</v>
      </c>
      <c r="AK601" s="1"/>
      <c r="AL601" s="1"/>
      <c r="AM601" s="1" t="s">
        <v>65</v>
      </c>
      <c r="AN601" s="1" t="s">
        <v>2781</v>
      </c>
      <c r="AO601" s="1"/>
      <c r="AP601" s="2">
        <v>43804.7883564815</v>
      </c>
      <c r="AQ601" s="1"/>
      <c r="AR601" s="1" t="s">
        <v>1096</v>
      </c>
      <c r="AS601" s="1"/>
      <c r="AT601" s="2">
        <v>44269.931099537</v>
      </c>
    </row>
    <row r="602" ht="13.5" customHeight="1">
      <c r="A602" s="1"/>
      <c r="B602" s="1" t="s">
        <v>46</v>
      </c>
      <c r="C602" s="1" t="s">
        <v>47</v>
      </c>
      <c r="D602" s="1"/>
      <c r="E602" s="1" t="s">
        <v>2782</v>
      </c>
      <c r="F602" s="1"/>
      <c r="G602" s="1" t="s">
        <v>49</v>
      </c>
      <c r="H602" s="1" t="s">
        <v>93</v>
      </c>
      <c r="I602" s="1">
        <v>120000.0</v>
      </c>
      <c r="J602" s="1"/>
      <c r="K602" s="1" t="s">
        <v>140</v>
      </c>
      <c r="L602" s="1"/>
      <c r="M602" s="1" t="s">
        <v>2783</v>
      </c>
      <c r="N602" s="1" t="s">
        <v>142</v>
      </c>
      <c r="O602" s="1" t="s">
        <v>143</v>
      </c>
      <c r="P602" s="2">
        <v>43804.7692824074</v>
      </c>
      <c r="Q602" s="1" t="s">
        <v>74</v>
      </c>
      <c r="R602" s="3">
        <v>43804.0</v>
      </c>
      <c r="S602" s="1"/>
      <c r="T602" s="1">
        <v>1100080.0</v>
      </c>
      <c r="U602" s="1" t="s">
        <v>1392</v>
      </c>
      <c r="V602" s="1" t="s">
        <v>448</v>
      </c>
      <c r="W602" s="1" t="s">
        <v>177</v>
      </c>
      <c r="X602" s="1"/>
      <c r="Y602" s="1"/>
      <c r="Z602" s="1" t="s">
        <v>147</v>
      </c>
      <c r="AA602" s="1" t="s">
        <v>2784</v>
      </c>
      <c r="AB602" s="1" t="str">
        <f>"***913222**"</f>
        <v>***913222**</v>
      </c>
      <c r="AC602" s="1"/>
      <c r="AD602" s="1" t="s">
        <v>116</v>
      </c>
      <c r="AE602" s="1"/>
      <c r="AF602" s="1">
        <v>-64.145554</v>
      </c>
      <c r="AG602" s="1">
        <v>-12.419723</v>
      </c>
      <c r="AH602" s="1" t="s">
        <v>2785</v>
      </c>
      <c r="AI602" s="1"/>
      <c r="AJ602" s="1" t="s">
        <v>172</v>
      </c>
      <c r="AK602" s="1"/>
      <c r="AL602" s="1"/>
      <c r="AM602" s="1" t="s">
        <v>65</v>
      </c>
      <c r="AN602" s="1" t="s">
        <v>1395</v>
      </c>
      <c r="AO602" s="1"/>
      <c r="AP602" s="2">
        <v>43804.7765277778</v>
      </c>
      <c r="AQ602" s="1"/>
      <c r="AR602" s="1" t="s">
        <v>793</v>
      </c>
      <c r="AS602" s="1"/>
      <c r="AT602" s="2">
        <v>44269.931099537</v>
      </c>
    </row>
    <row r="603" ht="13.5" customHeight="1">
      <c r="A603" s="1"/>
      <c r="B603" s="1" t="s">
        <v>46</v>
      </c>
      <c r="C603" s="1" t="s">
        <v>47</v>
      </c>
      <c r="D603" s="1"/>
      <c r="E603" s="1" t="s">
        <v>2786</v>
      </c>
      <c r="F603" s="1"/>
      <c r="G603" s="1" t="s">
        <v>49</v>
      </c>
      <c r="H603" s="1" t="s">
        <v>93</v>
      </c>
      <c r="I603" s="1">
        <v>498850.0</v>
      </c>
      <c r="J603" s="1"/>
      <c r="K603" s="1"/>
      <c r="L603" s="1"/>
      <c r="M603" s="1" t="s">
        <v>2787</v>
      </c>
      <c r="N603" s="1" t="s">
        <v>142</v>
      </c>
      <c r="O603" s="1" t="s">
        <v>143</v>
      </c>
      <c r="P603" s="2">
        <v>43804.76</v>
      </c>
      <c r="Q603" s="1" t="s">
        <v>373</v>
      </c>
      <c r="R603" s="1"/>
      <c r="S603" s="1"/>
      <c r="T603" s="1">
        <v>1101492.0</v>
      </c>
      <c r="U603" s="1" t="s">
        <v>2181</v>
      </c>
      <c r="V603" s="1" t="s">
        <v>448</v>
      </c>
      <c r="W603" s="1" t="s">
        <v>177</v>
      </c>
      <c r="X603" s="1"/>
      <c r="Y603" s="1"/>
      <c r="Z603" s="1" t="s">
        <v>147</v>
      </c>
      <c r="AA603" s="1" t="s">
        <v>2788</v>
      </c>
      <c r="AB603" s="1" t="str">
        <f>"***019402**"</f>
        <v>***019402**</v>
      </c>
      <c r="AC603" s="1">
        <v>0.0</v>
      </c>
      <c r="AD603" s="1" t="s">
        <v>116</v>
      </c>
      <c r="AE603" s="1"/>
      <c r="AF603" s="1">
        <v>-63.737499</v>
      </c>
      <c r="AG603" s="1">
        <v>-12.2425</v>
      </c>
      <c r="AH603" s="1" t="s">
        <v>2789</v>
      </c>
      <c r="AI603" s="1"/>
      <c r="AJ603" s="1" t="s">
        <v>172</v>
      </c>
      <c r="AK603" s="1"/>
      <c r="AL603" s="1"/>
      <c r="AM603" s="1" t="s">
        <v>65</v>
      </c>
      <c r="AN603" s="1" t="s">
        <v>1395</v>
      </c>
      <c r="AO603" s="1"/>
      <c r="AP603" s="2">
        <v>43804.7948148148</v>
      </c>
      <c r="AQ603" s="1"/>
      <c r="AR603" s="1" t="s">
        <v>644</v>
      </c>
      <c r="AS603" s="1" t="s">
        <v>1864</v>
      </c>
      <c r="AT603" s="2">
        <v>44269.931099537</v>
      </c>
    </row>
    <row r="604" ht="13.5" customHeight="1">
      <c r="A604" s="1"/>
      <c r="B604" s="1" t="s">
        <v>46</v>
      </c>
      <c r="C604" s="1" t="s">
        <v>47</v>
      </c>
      <c r="D604" s="1"/>
      <c r="E604" s="1" t="s">
        <v>2790</v>
      </c>
      <c r="F604" s="1"/>
      <c r="G604" s="1" t="s">
        <v>49</v>
      </c>
      <c r="H604" s="1" t="s">
        <v>93</v>
      </c>
      <c r="I604" s="1">
        <v>20000.0</v>
      </c>
      <c r="J604" s="1"/>
      <c r="K604" s="1" t="s">
        <v>140</v>
      </c>
      <c r="L604" s="1"/>
      <c r="M604" s="1" t="s">
        <v>2791</v>
      </c>
      <c r="N604" s="1" t="s">
        <v>123</v>
      </c>
      <c r="O604" s="1" t="s">
        <v>73</v>
      </c>
      <c r="P604" s="2">
        <v>43804.7596759259</v>
      </c>
      <c r="Q604" s="1" t="s">
        <v>74</v>
      </c>
      <c r="R604" s="1"/>
      <c r="S604" s="1"/>
      <c r="T604" s="1">
        <v>1100080.0</v>
      </c>
      <c r="U604" s="1" t="s">
        <v>1392</v>
      </c>
      <c r="V604" s="1" t="s">
        <v>448</v>
      </c>
      <c r="W604" s="1" t="s">
        <v>177</v>
      </c>
      <c r="X604" s="1"/>
      <c r="Y604" s="1"/>
      <c r="Z604" s="1" t="s">
        <v>76</v>
      </c>
      <c r="AA604" s="1" t="s">
        <v>2792</v>
      </c>
      <c r="AB604" s="1" t="str">
        <f>"***424806**"</f>
        <v>***424806**</v>
      </c>
      <c r="AC604" s="1"/>
      <c r="AD604" s="1" t="s">
        <v>149</v>
      </c>
      <c r="AE604" s="1"/>
      <c r="AF604" s="1">
        <v>-64.118889</v>
      </c>
      <c r="AG604" s="1">
        <v>-12.299167</v>
      </c>
      <c r="AH604" s="1" t="s">
        <v>2793</v>
      </c>
      <c r="AI604" s="1"/>
      <c r="AJ604" s="1" t="s">
        <v>172</v>
      </c>
      <c r="AK604" s="1"/>
      <c r="AL604" s="1"/>
      <c r="AM604" s="1" t="s">
        <v>65</v>
      </c>
      <c r="AN604" s="1" t="s">
        <v>1395</v>
      </c>
      <c r="AO604" s="1"/>
      <c r="AP604" s="2">
        <v>43804.7686689815</v>
      </c>
      <c r="AQ604" s="1"/>
      <c r="AR604" s="1" t="s">
        <v>793</v>
      </c>
      <c r="AS604" s="1"/>
      <c r="AT604" s="2">
        <v>44269.931099537</v>
      </c>
    </row>
    <row r="605" ht="13.5" customHeight="1">
      <c r="A605" s="1">
        <v>2044191.0</v>
      </c>
      <c r="B605" s="1" t="s">
        <v>67</v>
      </c>
      <c r="C605" s="1" t="s">
        <v>68</v>
      </c>
      <c r="D605" s="1" t="s">
        <v>46</v>
      </c>
      <c r="E605" s="1" t="s">
        <v>2794</v>
      </c>
      <c r="F605" s="1"/>
      <c r="G605" s="1" t="s">
        <v>70</v>
      </c>
      <c r="H605" s="1" t="s">
        <v>50</v>
      </c>
      <c r="I605" s="1">
        <v>45000.0</v>
      </c>
      <c r="J605" s="1"/>
      <c r="K605" s="1"/>
      <c r="L605" s="1" t="s">
        <v>172</v>
      </c>
      <c r="M605" s="1" t="s">
        <v>2381</v>
      </c>
      <c r="N605" s="1" t="s">
        <v>283</v>
      </c>
      <c r="O605" s="1" t="s">
        <v>978</v>
      </c>
      <c r="P605" s="2">
        <v>43804.75</v>
      </c>
      <c r="Q605" s="1" t="s">
        <v>74</v>
      </c>
      <c r="R605" s="1"/>
      <c r="S605" s="1"/>
      <c r="T605" s="1">
        <v>3548906.0</v>
      </c>
      <c r="U605" s="1" t="s">
        <v>2795</v>
      </c>
      <c r="V605" s="1" t="s">
        <v>58</v>
      </c>
      <c r="W605" s="1" t="s">
        <v>59</v>
      </c>
      <c r="X605" s="1"/>
      <c r="Y605" s="1" t="str">
        <f>"02001035862201997"</f>
        <v>02001035862201997</v>
      </c>
      <c r="Z605" s="1" t="s">
        <v>980</v>
      </c>
      <c r="AA605" s="1" t="s">
        <v>2796</v>
      </c>
      <c r="AB605" s="1" t="str">
        <f>"00543854000114"</f>
        <v>00543854000114</v>
      </c>
      <c r="AC605" s="1"/>
      <c r="AD605" s="1"/>
      <c r="AE605" s="1"/>
      <c r="AF605" s="1">
        <v>-48.007221</v>
      </c>
      <c r="AG605" s="1">
        <v>-22.062222</v>
      </c>
      <c r="AH605" s="1" t="s">
        <v>982</v>
      </c>
      <c r="AI605" s="1"/>
      <c r="AJ605" s="1" t="s">
        <v>172</v>
      </c>
      <c r="AK605" s="1"/>
      <c r="AL605" s="1" t="s">
        <v>79</v>
      </c>
      <c r="AM605" s="1" t="s">
        <v>65</v>
      </c>
      <c r="AN605" s="1" t="s">
        <v>983</v>
      </c>
      <c r="AO605" s="2">
        <v>44264.0</v>
      </c>
      <c r="AP605" s="2">
        <v>44264.8602777778</v>
      </c>
      <c r="AQ605" s="1" t="s">
        <v>80</v>
      </c>
      <c r="AR605" s="1" t="s">
        <v>1050</v>
      </c>
      <c r="AS605" s="1" t="s">
        <v>2383</v>
      </c>
      <c r="AT605" s="2">
        <v>44269.931099537</v>
      </c>
    </row>
    <row r="606" ht="13.5" customHeight="1">
      <c r="A606" s="1"/>
      <c r="B606" s="1" t="s">
        <v>46</v>
      </c>
      <c r="C606" s="1" t="s">
        <v>47</v>
      </c>
      <c r="D606" s="1"/>
      <c r="E606" s="1" t="s">
        <v>2797</v>
      </c>
      <c r="F606" s="1"/>
      <c r="G606" s="1" t="s">
        <v>49</v>
      </c>
      <c r="H606" s="1" t="s">
        <v>50</v>
      </c>
      <c r="I606" s="1">
        <v>405000.0</v>
      </c>
      <c r="J606" s="1"/>
      <c r="K606" s="1" t="s">
        <v>140</v>
      </c>
      <c r="L606" s="1"/>
      <c r="M606" s="1" t="s">
        <v>2381</v>
      </c>
      <c r="N606" s="1" t="s">
        <v>977</v>
      </c>
      <c r="O606" s="1" t="s">
        <v>978</v>
      </c>
      <c r="P606" s="2">
        <v>43804.7456944445</v>
      </c>
      <c r="Q606" s="1" t="s">
        <v>74</v>
      </c>
      <c r="R606" s="1"/>
      <c r="S606" s="1"/>
      <c r="T606" s="1">
        <v>3526803.0</v>
      </c>
      <c r="U606" s="1" t="s">
        <v>2798</v>
      </c>
      <c r="V606" s="1" t="s">
        <v>58</v>
      </c>
      <c r="W606" s="1" t="s">
        <v>59</v>
      </c>
      <c r="X606" s="1"/>
      <c r="Y606" s="1"/>
      <c r="Z606" s="1" t="s">
        <v>980</v>
      </c>
      <c r="AA606" s="1" t="s">
        <v>2799</v>
      </c>
      <c r="AB606" s="1" t="str">
        <f>"46201083000188"</f>
        <v>46201083000188</v>
      </c>
      <c r="AC606" s="1"/>
      <c r="AD606" s="1" t="s">
        <v>149</v>
      </c>
      <c r="AE606" s="1"/>
      <c r="AF606" s="1">
        <v>-48.922501</v>
      </c>
      <c r="AG606" s="1">
        <v>-22.667778</v>
      </c>
      <c r="AH606" s="1" t="s">
        <v>982</v>
      </c>
      <c r="AI606" s="1"/>
      <c r="AJ606" s="1" t="s">
        <v>172</v>
      </c>
      <c r="AK606" s="1"/>
      <c r="AL606" s="1"/>
      <c r="AM606" s="1" t="s">
        <v>65</v>
      </c>
      <c r="AN606" s="1" t="s">
        <v>983</v>
      </c>
      <c r="AO606" s="1"/>
      <c r="AP606" s="2">
        <v>44008.7400694444</v>
      </c>
      <c r="AQ606" s="1"/>
      <c r="AR606" s="1" t="s">
        <v>984</v>
      </c>
      <c r="AS606" s="1" t="s">
        <v>2383</v>
      </c>
      <c r="AT606" s="2">
        <v>44269.931099537</v>
      </c>
    </row>
    <row r="607" ht="13.5" customHeight="1">
      <c r="A607" s="1"/>
      <c r="B607" s="1" t="s">
        <v>46</v>
      </c>
      <c r="C607" s="1" t="s">
        <v>47</v>
      </c>
      <c r="D607" s="1"/>
      <c r="E607" s="1" t="s">
        <v>2800</v>
      </c>
      <c r="F607" s="1"/>
      <c r="G607" s="1" t="s">
        <v>49</v>
      </c>
      <c r="H607" s="1" t="s">
        <v>50</v>
      </c>
      <c r="I607" s="1">
        <v>1500500.0</v>
      </c>
      <c r="J607" s="1"/>
      <c r="K607" s="1" t="s">
        <v>51</v>
      </c>
      <c r="L607" s="1"/>
      <c r="M607" s="1" t="s">
        <v>2801</v>
      </c>
      <c r="N607" s="1" t="s">
        <v>212</v>
      </c>
      <c r="O607" s="1" t="s">
        <v>213</v>
      </c>
      <c r="P607" s="2">
        <v>43804.7437037037</v>
      </c>
      <c r="Q607" s="1" t="s">
        <v>74</v>
      </c>
      <c r="R607" s="1"/>
      <c r="S607" s="1"/>
      <c r="T607" s="1">
        <v>5300108.0</v>
      </c>
      <c r="U607" s="1" t="s">
        <v>1541</v>
      </c>
      <c r="V607" s="1" t="s">
        <v>1542</v>
      </c>
      <c r="W607" s="1" t="s">
        <v>59</v>
      </c>
      <c r="X607" s="1"/>
      <c r="Y607" s="1"/>
      <c r="Z607" s="1" t="s">
        <v>215</v>
      </c>
      <c r="AA607" s="1" t="s">
        <v>2802</v>
      </c>
      <c r="AB607" s="1" t="str">
        <f>"60933603000178"</f>
        <v>60933603000178</v>
      </c>
      <c r="AC607" s="1"/>
      <c r="AD607" s="1" t="s">
        <v>149</v>
      </c>
      <c r="AE607" s="1"/>
      <c r="AF607" s="1">
        <v>-47.861942</v>
      </c>
      <c r="AG607" s="1">
        <v>-15.767222</v>
      </c>
      <c r="AH607" s="1" t="s">
        <v>2450</v>
      </c>
      <c r="AI607" s="1"/>
      <c r="AJ607" s="1" t="s">
        <v>172</v>
      </c>
      <c r="AK607" s="1"/>
      <c r="AL607" s="1"/>
      <c r="AM607" s="1" t="s">
        <v>65</v>
      </c>
      <c r="AN607" s="1" t="s">
        <v>720</v>
      </c>
      <c r="AO607" s="1"/>
      <c r="AP607" s="2">
        <v>43804.753900463</v>
      </c>
      <c r="AQ607" s="1"/>
      <c r="AR607" s="1" t="s">
        <v>721</v>
      </c>
      <c r="AS607" s="1" t="s">
        <v>2803</v>
      </c>
      <c r="AT607" s="2">
        <v>44269.931099537</v>
      </c>
    </row>
    <row r="608" ht="13.5" customHeight="1">
      <c r="A608" s="1"/>
      <c r="B608" s="1" t="s">
        <v>46</v>
      </c>
      <c r="C608" s="1" t="s">
        <v>47</v>
      </c>
      <c r="D608" s="1"/>
      <c r="E608" s="1" t="s">
        <v>2804</v>
      </c>
      <c r="F608" s="1"/>
      <c r="G608" s="1" t="s">
        <v>49</v>
      </c>
      <c r="H608" s="1" t="s">
        <v>93</v>
      </c>
      <c r="I608" s="1">
        <v>45000.0</v>
      </c>
      <c r="J608" s="1"/>
      <c r="K608" s="1" t="s">
        <v>51</v>
      </c>
      <c r="L608" s="1"/>
      <c r="M608" s="1" t="s">
        <v>2670</v>
      </c>
      <c r="N608" s="1" t="s">
        <v>977</v>
      </c>
      <c r="O608" s="1" t="s">
        <v>978</v>
      </c>
      <c r="P608" s="2">
        <v>43804.7320717593</v>
      </c>
      <c r="Q608" s="1" t="s">
        <v>74</v>
      </c>
      <c r="R608" s="1"/>
      <c r="S608" s="1"/>
      <c r="T608" s="1">
        <v>3548708.0</v>
      </c>
      <c r="U608" s="1" t="s">
        <v>993</v>
      </c>
      <c r="V608" s="1" t="s">
        <v>58</v>
      </c>
      <c r="W608" s="1" t="s">
        <v>59</v>
      </c>
      <c r="X608" s="1"/>
      <c r="Y608" s="1"/>
      <c r="Z608" s="1" t="s">
        <v>980</v>
      </c>
      <c r="AA608" s="1" t="s">
        <v>2805</v>
      </c>
      <c r="AB608" s="1" t="str">
        <f>"01305375000122"</f>
        <v>01305375000122</v>
      </c>
      <c r="AC608" s="1"/>
      <c r="AD608" s="1" t="s">
        <v>149</v>
      </c>
      <c r="AE608" s="1"/>
      <c r="AF608" s="1">
        <v>-46.674442</v>
      </c>
      <c r="AG608" s="1">
        <v>-23.682222</v>
      </c>
      <c r="AH608" s="1" t="s">
        <v>2806</v>
      </c>
      <c r="AI608" s="1"/>
      <c r="AJ608" s="1" t="s">
        <v>172</v>
      </c>
      <c r="AK608" s="1"/>
      <c r="AL608" s="1"/>
      <c r="AM608" s="1" t="s">
        <v>65</v>
      </c>
      <c r="AN608" s="1" t="s">
        <v>983</v>
      </c>
      <c r="AO608" s="1"/>
      <c r="AP608" s="2">
        <v>43992.539375</v>
      </c>
      <c r="AQ608" s="1"/>
      <c r="AR608" s="1" t="s">
        <v>984</v>
      </c>
      <c r="AS608" s="1" t="s">
        <v>2673</v>
      </c>
      <c r="AT608" s="2">
        <v>44269.931099537</v>
      </c>
    </row>
    <row r="609" ht="13.5" customHeight="1">
      <c r="A609" s="1"/>
      <c r="B609" s="1" t="s">
        <v>46</v>
      </c>
      <c r="C609" s="1" t="s">
        <v>47</v>
      </c>
      <c r="D609" s="1"/>
      <c r="E609" s="1" t="s">
        <v>2807</v>
      </c>
      <c r="F609" s="1"/>
      <c r="G609" s="1" t="s">
        <v>49</v>
      </c>
      <c r="H609" s="1" t="s">
        <v>50</v>
      </c>
      <c r="I609" s="1">
        <v>100000.0</v>
      </c>
      <c r="J609" s="1"/>
      <c r="K609" s="1" t="s">
        <v>51</v>
      </c>
      <c r="L609" s="1"/>
      <c r="M609" s="1" t="s">
        <v>2808</v>
      </c>
      <c r="N609" s="1" t="s">
        <v>283</v>
      </c>
      <c r="O609" s="1" t="s">
        <v>1133</v>
      </c>
      <c r="P609" s="2">
        <v>43804.7197106481</v>
      </c>
      <c r="Q609" s="1" t="s">
        <v>74</v>
      </c>
      <c r="R609" s="1"/>
      <c r="S609" s="1"/>
      <c r="T609" s="1">
        <v>3509908.0</v>
      </c>
      <c r="U609" s="1" t="s">
        <v>2809</v>
      </c>
      <c r="V609" s="1" t="s">
        <v>58</v>
      </c>
      <c r="W609" s="1" t="s">
        <v>288</v>
      </c>
      <c r="X609" s="1"/>
      <c r="Y609" s="1"/>
      <c r="Z609" s="1" t="s">
        <v>128</v>
      </c>
      <c r="AA609" s="1" t="s">
        <v>289</v>
      </c>
      <c r="AB609" s="1" t="str">
        <f>"33000167000101"</f>
        <v>33000167000101</v>
      </c>
      <c r="AC609" s="1"/>
      <c r="AD609" s="1" t="s">
        <v>149</v>
      </c>
      <c r="AE609" s="1"/>
      <c r="AF609" s="1">
        <v>-45.252224</v>
      </c>
      <c r="AG609" s="1">
        <v>-25.266388</v>
      </c>
      <c r="AH609" s="1" t="s">
        <v>2810</v>
      </c>
      <c r="AI609" s="1"/>
      <c r="AJ609" s="1" t="s">
        <v>172</v>
      </c>
      <c r="AK609" s="1"/>
      <c r="AL609" s="1"/>
      <c r="AM609" s="1" t="s">
        <v>65</v>
      </c>
      <c r="AN609" s="1" t="s">
        <v>720</v>
      </c>
      <c r="AO609" s="1"/>
      <c r="AP609" s="2">
        <v>44013.7215046296</v>
      </c>
      <c r="AQ609" s="1"/>
      <c r="AR609" s="1" t="s">
        <v>1360</v>
      </c>
      <c r="AS609" s="1" t="s">
        <v>1361</v>
      </c>
      <c r="AT609" s="2">
        <v>44269.931099537</v>
      </c>
    </row>
    <row r="610" ht="13.5" customHeight="1">
      <c r="A610" s="1">
        <v>2035101.0</v>
      </c>
      <c r="B610" s="1" t="s">
        <v>67</v>
      </c>
      <c r="C610" s="1" t="s">
        <v>68</v>
      </c>
      <c r="D610" s="1" t="s">
        <v>46</v>
      </c>
      <c r="E610" s="1" t="s">
        <v>2811</v>
      </c>
      <c r="F610" s="1"/>
      <c r="G610" s="1" t="s">
        <v>70</v>
      </c>
      <c r="H610" s="1" t="s">
        <v>93</v>
      </c>
      <c r="I610" s="1">
        <v>1897500.0</v>
      </c>
      <c r="J610" s="1"/>
      <c r="K610" s="1"/>
      <c r="L610" s="1" t="s">
        <v>172</v>
      </c>
      <c r="M610" s="1" t="s">
        <v>2812</v>
      </c>
      <c r="N610" s="1" t="s">
        <v>142</v>
      </c>
      <c r="O610" s="1" t="s">
        <v>143</v>
      </c>
      <c r="P610" s="2">
        <v>43804.7083333333</v>
      </c>
      <c r="Q610" s="1" t="s">
        <v>74</v>
      </c>
      <c r="R610" s="3">
        <v>43804.0</v>
      </c>
      <c r="S610" s="1"/>
      <c r="T610" s="1">
        <v>1300706.0</v>
      </c>
      <c r="U610" s="1" t="s">
        <v>2161</v>
      </c>
      <c r="V610" s="1" t="s">
        <v>486</v>
      </c>
      <c r="W610" s="1" t="s">
        <v>177</v>
      </c>
      <c r="X610" s="1"/>
      <c r="Y610" s="1" t="str">
        <f>"02001035305201976"</f>
        <v>02001035305201976</v>
      </c>
      <c r="Z610" s="1" t="s">
        <v>147</v>
      </c>
      <c r="AA610" s="1" t="s">
        <v>2813</v>
      </c>
      <c r="AB610" s="1" t="str">
        <f>"***279422**"</f>
        <v>***279422**</v>
      </c>
      <c r="AC610" s="1"/>
      <c r="AD610" s="1"/>
      <c r="AE610" s="1"/>
      <c r="AF610" s="1">
        <v>-67.25</v>
      </c>
      <c r="AG610" s="1">
        <v>-8.646111</v>
      </c>
      <c r="AH610" s="1" t="s">
        <v>2814</v>
      </c>
      <c r="AI610" s="1"/>
      <c r="AJ610" s="1" t="s">
        <v>172</v>
      </c>
      <c r="AK610" s="1"/>
      <c r="AL610" s="1" t="s">
        <v>79</v>
      </c>
      <c r="AM610" s="1" t="s">
        <v>65</v>
      </c>
      <c r="AN610" s="1" t="s">
        <v>1395</v>
      </c>
      <c r="AO610" s="2">
        <v>43895.0</v>
      </c>
      <c r="AP610" s="2">
        <v>43895.3739236111</v>
      </c>
      <c r="AQ610" s="1" t="s">
        <v>80</v>
      </c>
      <c r="AR610" s="1" t="s">
        <v>421</v>
      </c>
      <c r="AS610" s="1" t="s">
        <v>1944</v>
      </c>
      <c r="AT610" s="2">
        <v>44269.931099537</v>
      </c>
    </row>
    <row r="611" ht="13.5" customHeight="1">
      <c r="A611" s="1">
        <v>2035102.0</v>
      </c>
      <c r="B611" s="1" t="s">
        <v>67</v>
      </c>
      <c r="C611" s="1" t="s">
        <v>68</v>
      </c>
      <c r="D611" s="1" t="s">
        <v>46</v>
      </c>
      <c r="E611" s="1" t="s">
        <v>2815</v>
      </c>
      <c r="F611" s="1"/>
      <c r="G611" s="1" t="s">
        <v>70</v>
      </c>
      <c r="H611" s="1" t="s">
        <v>93</v>
      </c>
      <c r="I611" s="1">
        <v>1365000.0</v>
      </c>
      <c r="J611" s="1"/>
      <c r="K611" s="1"/>
      <c r="L611" s="1" t="s">
        <v>172</v>
      </c>
      <c r="M611" s="1" t="s">
        <v>2816</v>
      </c>
      <c r="N611" s="1" t="s">
        <v>142</v>
      </c>
      <c r="O611" s="1" t="s">
        <v>143</v>
      </c>
      <c r="P611" s="2">
        <v>43804.7083333333</v>
      </c>
      <c r="Q611" s="1" t="s">
        <v>74</v>
      </c>
      <c r="R611" s="3">
        <v>43804.0</v>
      </c>
      <c r="S611" s="1"/>
      <c r="T611" s="1">
        <v>1300706.0</v>
      </c>
      <c r="U611" s="1" t="s">
        <v>2161</v>
      </c>
      <c r="V611" s="1" t="s">
        <v>486</v>
      </c>
      <c r="W611" s="1" t="s">
        <v>177</v>
      </c>
      <c r="X611" s="1"/>
      <c r="Y611" s="1" t="str">
        <f>"02001035159201989"</f>
        <v>02001035159201989</v>
      </c>
      <c r="Z611" s="1" t="s">
        <v>147</v>
      </c>
      <c r="AA611" s="1" t="s">
        <v>2817</v>
      </c>
      <c r="AB611" s="1" t="str">
        <f>"***139892**"</f>
        <v>***139892**</v>
      </c>
      <c r="AC611" s="1"/>
      <c r="AD611" s="1"/>
      <c r="AE611" s="1"/>
      <c r="AF611" s="1">
        <v>-67.107773</v>
      </c>
      <c r="AG611" s="1">
        <v>-8.657778</v>
      </c>
      <c r="AH611" s="1" t="s">
        <v>2818</v>
      </c>
      <c r="AI611" s="1"/>
      <c r="AJ611" s="1" t="s">
        <v>172</v>
      </c>
      <c r="AK611" s="1"/>
      <c r="AL611" s="1" t="s">
        <v>79</v>
      </c>
      <c r="AM611" s="1" t="s">
        <v>65</v>
      </c>
      <c r="AN611" s="1" t="s">
        <v>1395</v>
      </c>
      <c r="AO611" s="2">
        <v>43895.0</v>
      </c>
      <c r="AP611" s="2">
        <v>43895.3741087963</v>
      </c>
      <c r="AQ611" s="1" t="s">
        <v>80</v>
      </c>
      <c r="AR611" s="1" t="s">
        <v>2545</v>
      </c>
      <c r="AS611" s="1"/>
      <c r="AT611" s="2">
        <v>44269.931099537</v>
      </c>
    </row>
    <row r="612" ht="13.5" customHeight="1">
      <c r="A612" s="1">
        <v>2043129.0</v>
      </c>
      <c r="B612" s="1" t="s">
        <v>67</v>
      </c>
      <c r="C612" s="1" t="s">
        <v>68</v>
      </c>
      <c r="D612" s="1" t="s">
        <v>46</v>
      </c>
      <c r="E612" s="1" t="s">
        <v>2819</v>
      </c>
      <c r="F612" s="1"/>
      <c r="G612" s="1" t="s">
        <v>70</v>
      </c>
      <c r="H612" s="1" t="s">
        <v>50</v>
      </c>
      <c r="I612" s="1">
        <v>100000.0</v>
      </c>
      <c r="J612" s="1"/>
      <c r="K612" s="1"/>
      <c r="L612" s="1" t="s">
        <v>172</v>
      </c>
      <c r="M612" s="1" t="s">
        <v>2820</v>
      </c>
      <c r="N612" s="1" t="s">
        <v>283</v>
      </c>
      <c r="O612" s="1" t="s">
        <v>1133</v>
      </c>
      <c r="P612" s="2">
        <v>43804.7083333333</v>
      </c>
      <c r="Q612" s="1" t="s">
        <v>74</v>
      </c>
      <c r="R612" s="3">
        <v>43868.0</v>
      </c>
      <c r="S612" s="1"/>
      <c r="T612" s="1">
        <v>3302403.0</v>
      </c>
      <c r="U612" s="1" t="s">
        <v>1371</v>
      </c>
      <c r="V612" s="1" t="s">
        <v>287</v>
      </c>
      <c r="W612" s="1" t="s">
        <v>288</v>
      </c>
      <c r="X612" s="1"/>
      <c r="Y612" s="1" t="str">
        <f>"02001035022201924"</f>
        <v>02001035022201924</v>
      </c>
      <c r="Z612" s="1" t="s">
        <v>128</v>
      </c>
      <c r="AA612" s="1" t="s">
        <v>289</v>
      </c>
      <c r="AB612" s="1" t="str">
        <f>"33000167000101"</f>
        <v>33000167000101</v>
      </c>
      <c r="AC612" s="1"/>
      <c r="AD612" s="1"/>
      <c r="AE612" s="1"/>
      <c r="AF612" s="1">
        <v>-40.028332</v>
      </c>
      <c r="AG612" s="1">
        <v>-22.468056</v>
      </c>
      <c r="AH612" s="1" t="s">
        <v>1450</v>
      </c>
      <c r="AI612" s="1"/>
      <c r="AJ612" s="1" t="s">
        <v>172</v>
      </c>
      <c r="AK612" s="1"/>
      <c r="AL612" s="1" t="s">
        <v>79</v>
      </c>
      <c r="AM612" s="1" t="s">
        <v>65</v>
      </c>
      <c r="AN612" s="1" t="s">
        <v>720</v>
      </c>
      <c r="AO612" s="2">
        <v>44229.0</v>
      </c>
      <c r="AP612" s="2">
        <v>44229.372974537</v>
      </c>
      <c r="AQ612" s="1" t="s">
        <v>80</v>
      </c>
      <c r="AR612" s="1" t="s">
        <v>1485</v>
      </c>
      <c r="AS612" s="1" t="s">
        <v>1361</v>
      </c>
      <c r="AT612" s="2">
        <v>44269.931099537</v>
      </c>
    </row>
    <row r="613" ht="13.5" customHeight="1">
      <c r="A613" s="1"/>
      <c r="B613" s="1" t="s">
        <v>46</v>
      </c>
      <c r="C613" s="1" t="s">
        <v>47</v>
      </c>
      <c r="D613" s="1"/>
      <c r="E613" s="1" t="s">
        <v>2821</v>
      </c>
      <c r="F613" s="1"/>
      <c r="G613" s="1" t="s">
        <v>49</v>
      </c>
      <c r="H613" s="1" t="s">
        <v>50</v>
      </c>
      <c r="I613" s="1">
        <v>805000.0</v>
      </c>
      <c r="J613" s="1"/>
      <c r="K613" s="1" t="s">
        <v>140</v>
      </c>
      <c r="L613" s="1"/>
      <c r="M613" s="1" t="s">
        <v>2381</v>
      </c>
      <c r="N613" s="1" t="s">
        <v>977</v>
      </c>
      <c r="O613" s="1" t="s">
        <v>978</v>
      </c>
      <c r="P613" s="2">
        <v>43804.7052777778</v>
      </c>
      <c r="Q613" s="1" t="s">
        <v>74</v>
      </c>
      <c r="R613" s="1"/>
      <c r="S613" s="1"/>
      <c r="T613" s="1">
        <v>3300456.0</v>
      </c>
      <c r="U613" s="1" t="s">
        <v>2822</v>
      </c>
      <c r="V613" s="1" t="s">
        <v>287</v>
      </c>
      <c r="W613" s="1" t="s">
        <v>59</v>
      </c>
      <c r="X613" s="1"/>
      <c r="Y613" s="1"/>
      <c r="Z613" s="1" t="s">
        <v>980</v>
      </c>
      <c r="AA613" s="1" t="s">
        <v>2823</v>
      </c>
      <c r="AB613" s="1" t="str">
        <f>"42593962000141"</f>
        <v>42593962000141</v>
      </c>
      <c r="AC613" s="1"/>
      <c r="AD613" s="1" t="s">
        <v>149</v>
      </c>
      <c r="AE613" s="1"/>
      <c r="AF613" s="1">
        <v>-43.521389</v>
      </c>
      <c r="AG613" s="1">
        <v>-22.856388</v>
      </c>
      <c r="AH613" s="1" t="s">
        <v>982</v>
      </c>
      <c r="AI613" s="1"/>
      <c r="AJ613" s="1" t="s">
        <v>172</v>
      </c>
      <c r="AK613" s="1"/>
      <c r="AL613" s="1"/>
      <c r="AM613" s="1" t="s">
        <v>65</v>
      </c>
      <c r="AN613" s="1" t="s">
        <v>983</v>
      </c>
      <c r="AO613" s="1"/>
      <c r="AP613" s="2">
        <v>44008.7403240741</v>
      </c>
      <c r="AQ613" s="1"/>
      <c r="AR613" s="1" t="s">
        <v>984</v>
      </c>
      <c r="AS613" s="1" t="s">
        <v>2412</v>
      </c>
      <c r="AT613" s="2">
        <v>44269.931099537</v>
      </c>
    </row>
    <row r="614" ht="13.5" customHeight="1">
      <c r="A614" s="1"/>
      <c r="B614" s="1" t="s">
        <v>46</v>
      </c>
      <c r="C614" s="1" t="s">
        <v>47</v>
      </c>
      <c r="D614" s="1"/>
      <c r="E614" s="1" t="s">
        <v>2824</v>
      </c>
      <c r="F614" s="1"/>
      <c r="G614" s="1" t="s">
        <v>49</v>
      </c>
      <c r="H614" s="1" t="s">
        <v>93</v>
      </c>
      <c r="I614" s="1">
        <v>85000.0</v>
      </c>
      <c r="J614" s="1"/>
      <c r="K614" s="1" t="s">
        <v>51</v>
      </c>
      <c r="L614" s="1"/>
      <c r="M614" s="1" t="s">
        <v>2670</v>
      </c>
      <c r="N614" s="1" t="s">
        <v>977</v>
      </c>
      <c r="O614" s="1" t="s">
        <v>978</v>
      </c>
      <c r="P614" s="2">
        <v>43804.7043287037</v>
      </c>
      <c r="Q614" s="1" t="s">
        <v>74</v>
      </c>
      <c r="R614" s="1"/>
      <c r="S614" s="1"/>
      <c r="T614" s="1">
        <v>3513801.0</v>
      </c>
      <c r="U614" s="1" t="s">
        <v>1200</v>
      </c>
      <c r="V614" s="1" t="s">
        <v>58</v>
      </c>
      <c r="W614" s="1" t="s">
        <v>59</v>
      </c>
      <c r="X614" s="1"/>
      <c r="Y614" s="1"/>
      <c r="Z614" s="1" t="s">
        <v>980</v>
      </c>
      <c r="AA614" s="1" t="s">
        <v>2825</v>
      </c>
      <c r="AB614" s="1" t="str">
        <f>"00245992000117"</f>
        <v>00245992000117</v>
      </c>
      <c r="AC614" s="1"/>
      <c r="AD614" s="1" t="s">
        <v>149</v>
      </c>
      <c r="AE614" s="1"/>
      <c r="AF614" s="1">
        <v>-46.689442</v>
      </c>
      <c r="AG614" s="1">
        <v>-23.719168</v>
      </c>
      <c r="AH614" s="1" t="s">
        <v>2826</v>
      </c>
      <c r="AI614" s="1"/>
      <c r="AJ614" s="1" t="s">
        <v>172</v>
      </c>
      <c r="AK614" s="1"/>
      <c r="AL614" s="1"/>
      <c r="AM614" s="1" t="s">
        <v>65</v>
      </c>
      <c r="AN614" s="1" t="s">
        <v>983</v>
      </c>
      <c r="AO614" s="1"/>
      <c r="AP614" s="2">
        <v>43992.5396527778</v>
      </c>
      <c r="AQ614" s="1"/>
      <c r="AR614" s="1" t="s">
        <v>984</v>
      </c>
      <c r="AS614" s="1" t="s">
        <v>2673</v>
      </c>
      <c r="AT614" s="2">
        <v>44269.931099537</v>
      </c>
    </row>
    <row r="615" ht="13.5" customHeight="1">
      <c r="A615" s="1"/>
      <c r="B615" s="1" t="s">
        <v>46</v>
      </c>
      <c r="C615" s="1" t="s">
        <v>47</v>
      </c>
      <c r="D615" s="1"/>
      <c r="E615" s="1" t="s">
        <v>2827</v>
      </c>
      <c r="F615" s="1"/>
      <c r="G615" s="1" t="s">
        <v>49</v>
      </c>
      <c r="H615" s="1" t="s">
        <v>50</v>
      </c>
      <c r="I615" s="1">
        <v>400000.0</v>
      </c>
      <c r="J615" s="1"/>
      <c r="K615" s="1" t="s">
        <v>51</v>
      </c>
      <c r="L615" s="1"/>
      <c r="M615" s="1" t="s">
        <v>2828</v>
      </c>
      <c r="N615" s="1" t="s">
        <v>283</v>
      </c>
      <c r="O615" s="1" t="s">
        <v>1133</v>
      </c>
      <c r="P615" s="2">
        <v>43804.687974537</v>
      </c>
      <c r="Q615" s="1" t="s">
        <v>74</v>
      </c>
      <c r="R615" s="1"/>
      <c r="S615" s="1"/>
      <c r="T615" s="1">
        <v>3302403.0</v>
      </c>
      <c r="U615" s="1" t="s">
        <v>1371</v>
      </c>
      <c r="V615" s="1" t="s">
        <v>287</v>
      </c>
      <c r="W615" s="1" t="s">
        <v>288</v>
      </c>
      <c r="X615" s="1"/>
      <c r="Y615" s="1"/>
      <c r="Z615" s="1" t="s">
        <v>128</v>
      </c>
      <c r="AA615" s="1" t="s">
        <v>289</v>
      </c>
      <c r="AB615" s="1" t="str">
        <f>"33000167000101"</f>
        <v>33000167000101</v>
      </c>
      <c r="AC615" s="1"/>
      <c r="AD615" s="1" t="s">
        <v>149</v>
      </c>
      <c r="AE615" s="1"/>
      <c r="AF615" s="1">
        <v>-40.424168</v>
      </c>
      <c r="AG615" s="1">
        <v>-22.438055</v>
      </c>
      <c r="AH615" s="1" t="s">
        <v>2829</v>
      </c>
      <c r="AI615" s="1"/>
      <c r="AJ615" s="1" t="s">
        <v>172</v>
      </c>
      <c r="AK615" s="1"/>
      <c r="AL615" s="1"/>
      <c r="AM615" s="1" t="s">
        <v>65</v>
      </c>
      <c r="AN615" s="1" t="s">
        <v>720</v>
      </c>
      <c r="AO615" s="1"/>
      <c r="AP615" s="2">
        <v>44013.7215972222</v>
      </c>
      <c r="AQ615" s="1"/>
      <c r="AR615" s="1" t="s">
        <v>1360</v>
      </c>
      <c r="AS615" s="1" t="s">
        <v>1361</v>
      </c>
      <c r="AT615" s="2">
        <v>44269.931099537</v>
      </c>
    </row>
    <row r="616" ht="13.5" customHeight="1">
      <c r="A616" s="1"/>
      <c r="B616" s="1" t="s">
        <v>46</v>
      </c>
      <c r="C616" s="1" t="s">
        <v>47</v>
      </c>
      <c r="D616" s="1"/>
      <c r="E616" s="1" t="s">
        <v>2830</v>
      </c>
      <c r="F616" s="1"/>
      <c r="G616" s="1" t="s">
        <v>49</v>
      </c>
      <c r="H616" s="1" t="s">
        <v>93</v>
      </c>
      <c r="I616" s="1">
        <v>105000.0</v>
      </c>
      <c r="J616" s="1"/>
      <c r="K616" s="1" t="s">
        <v>51</v>
      </c>
      <c r="L616" s="1"/>
      <c r="M616" s="1" t="s">
        <v>2670</v>
      </c>
      <c r="N616" s="1" t="s">
        <v>977</v>
      </c>
      <c r="O616" s="1" t="s">
        <v>978</v>
      </c>
      <c r="P616" s="2">
        <v>43804.6565046296</v>
      </c>
      <c r="Q616" s="1" t="s">
        <v>74</v>
      </c>
      <c r="R616" s="1"/>
      <c r="S616" s="1"/>
      <c r="T616" s="1">
        <v>3550308.0</v>
      </c>
      <c r="U616" s="1" t="s">
        <v>607</v>
      </c>
      <c r="V616" s="1" t="s">
        <v>58</v>
      </c>
      <c r="W616" s="1" t="s">
        <v>59</v>
      </c>
      <c r="X616" s="1"/>
      <c r="Y616" s="1"/>
      <c r="Z616" s="1" t="s">
        <v>980</v>
      </c>
      <c r="AA616" s="1" t="s">
        <v>2831</v>
      </c>
      <c r="AB616" s="1" t="str">
        <f>"31452113000151"</f>
        <v>31452113000151</v>
      </c>
      <c r="AC616" s="1"/>
      <c r="AD616" s="1" t="s">
        <v>149</v>
      </c>
      <c r="AE616" s="1"/>
      <c r="AF616" s="1">
        <v>-46.787224</v>
      </c>
      <c r="AG616" s="1">
        <v>-23.649721</v>
      </c>
      <c r="AH616" s="1" t="s">
        <v>2831</v>
      </c>
      <c r="AI616" s="1"/>
      <c r="AJ616" s="1" t="s">
        <v>172</v>
      </c>
      <c r="AK616" s="1"/>
      <c r="AL616" s="1"/>
      <c r="AM616" s="1" t="s">
        <v>65</v>
      </c>
      <c r="AN616" s="1" t="s">
        <v>983</v>
      </c>
      <c r="AO616" s="1"/>
      <c r="AP616" s="2">
        <v>43992.5397337963</v>
      </c>
      <c r="AQ616" s="1"/>
      <c r="AR616" s="1" t="s">
        <v>984</v>
      </c>
      <c r="AS616" s="1" t="s">
        <v>2688</v>
      </c>
      <c r="AT616" s="2">
        <v>44269.931099537</v>
      </c>
    </row>
    <row r="617" ht="13.5" customHeight="1">
      <c r="A617" s="1"/>
      <c r="B617" s="1" t="s">
        <v>46</v>
      </c>
      <c r="C617" s="1" t="s">
        <v>47</v>
      </c>
      <c r="D617" s="1"/>
      <c r="E617" s="1" t="s">
        <v>2832</v>
      </c>
      <c r="F617" s="1"/>
      <c r="G617" s="1" t="s">
        <v>49</v>
      </c>
      <c r="H617" s="1" t="s">
        <v>50</v>
      </c>
      <c r="I617" s="1">
        <v>105000.0</v>
      </c>
      <c r="J617" s="1"/>
      <c r="K617" s="1" t="s">
        <v>51</v>
      </c>
      <c r="L617" s="1"/>
      <c r="M617" s="1" t="s">
        <v>2381</v>
      </c>
      <c r="N617" s="1" t="s">
        <v>977</v>
      </c>
      <c r="O617" s="1" t="s">
        <v>978</v>
      </c>
      <c r="P617" s="2">
        <v>43804.656099537</v>
      </c>
      <c r="Q617" s="1" t="s">
        <v>74</v>
      </c>
      <c r="R617" s="1"/>
      <c r="S617" s="1"/>
      <c r="T617" s="1">
        <v>3505708.0</v>
      </c>
      <c r="U617" s="1" t="s">
        <v>1048</v>
      </c>
      <c r="V617" s="1" t="s">
        <v>58</v>
      </c>
      <c r="W617" s="1" t="s">
        <v>59</v>
      </c>
      <c r="X617" s="1"/>
      <c r="Y617" s="1"/>
      <c r="Z617" s="1" t="s">
        <v>980</v>
      </c>
      <c r="AA617" s="1" t="s">
        <v>2833</v>
      </c>
      <c r="AB617" s="1" t="str">
        <f>"17205244000103"</f>
        <v>17205244000103</v>
      </c>
      <c r="AC617" s="1"/>
      <c r="AD617" s="1" t="s">
        <v>149</v>
      </c>
      <c r="AE617" s="1"/>
      <c r="AF617" s="1">
        <v>-46.924442</v>
      </c>
      <c r="AG617" s="1">
        <v>-23.625</v>
      </c>
      <c r="AH617" s="1" t="s">
        <v>982</v>
      </c>
      <c r="AI617" s="1"/>
      <c r="AJ617" s="1" t="s">
        <v>172</v>
      </c>
      <c r="AK617" s="1"/>
      <c r="AL617" s="1"/>
      <c r="AM617" s="1" t="s">
        <v>65</v>
      </c>
      <c r="AN617" s="1" t="s">
        <v>983</v>
      </c>
      <c r="AO617" s="1"/>
      <c r="AP617" s="2">
        <v>44008.7405208333</v>
      </c>
      <c r="AQ617" s="1"/>
      <c r="AR617" s="1" t="s">
        <v>984</v>
      </c>
      <c r="AS617" s="1" t="s">
        <v>2412</v>
      </c>
      <c r="AT617" s="2">
        <v>44269.931099537</v>
      </c>
    </row>
    <row r="618" ht="13.5" customHeight="1">
      <c r="A618" s="1"/>
      <c r="B618" s="1" t="s">
        <v>46</v>
      </c>
      <c r="C618" s="1" t="s">
        <v>47</v>
      </c>
      <c r="D618" s="1"/>
      <c r="E618" s="1" t="s">
        <v>2834</v>
      </c>
      <c r="F618" s="1"/>
      <c r="G618" s="1" t="s">
        <v>49</v>
      </c>
      <c r="H618" s="1" t="s">
        <v>50</v>
      </c>
      <c r="I618" s="1">
        <v>100000.0</v>
      </c>
      <c r="J618" s="1"/>
      <c r="K618" s="1" t="s">
        <v>51</v>
      </c>
      <c r="L618" s="1"/>
      <c r="M618" s="1" t="s">
        <v>2835</v>
      </c>
      <c r="N618" s="1" t="s">
        <v>283</v>
      </c>
      <c r="O618" s="1" t="s">
        <v>1133</v>
      </c>
      <c r="P618" s="2">
        <v>43804.6430324074</v>
      </c>
      <c r="Q618" s="1" t="s">
        <v>74</v>
      </c>
      <c r="R618" s="1"/>
      <c r="S618" s="1"/>
      <c r="T618" s="1">
        <v>3302403.0</v>
      </c>
      <c r="U618" s="1" t="s">
        <v>1371</v>
      </c>
      <c r="V618" s="1" t="s">
        <v>287</v>
      </c>
      <c r="W618" s="1" t="s">
        <v>288</v>
      </c>
      <c r="X618" s="1"/>
      <c r="Y618" s="1"/>
      <c r="Z618" s="1" t="s">
        <v>128</v>
      </c>
      <c r="AA618" s="1" t="s">
        <v>289</v>
      </c>
      <c r="AB618" s="1" t="str">
        <f>"33000167000101"</f>
        <v>33000167000101</v>
      </c>
      <c r="AC618" s="1"/>
      <c r="AD618" s="1" t="s">
        <v>149</v>
      </c>
      <c r="AE618" s="1"/>
      <c r="AF618" s="1">
        <v>-40.095276</v>
      </c>
      <c r="AG618" s="1">
        <v>-22.484722</v>
      </c>
      <c r="AH618" s="1" t="s">
        <v>1450</v>
      </c>
      <c r="AI618" s="1"/>
      <c r="AJ618" s="1" t="s">
        <v>172</v>
      </c>
      <c r="AK618" s="1"/>
      <c r="AL618" s="1"/>
      <c r="AM618" s="1" t="s">
        <v>65</v>
      </c>
      <c r="AN618" s="1" t="s">
        <v>720</v>
      </c>
      <c r="AO618" s="1"/>
      <c r="AP618" s="2">
        <v>44013.7217824074</v>
      </c>
      <c r="AQ618" s="1"/>
      <c r="AR618" s="1" t="s">
        <v>1360</v>
      </c>
      <c r="AS618" s="1" t="s">
        <v>1361</v>
      </c>
      <c r="AT618" s="2">
        <v>44269.931099537</v>
      </c>
    </row>
    <row r="619" ht="13.5" customHeight="1">
      <c r="A619" s="1"/>
      <c r="B619" s="1" t="s">
        <v>46</v>
      </c>
      <c r="C619" s="1" t="s">
        <v>47</v>
      </c>
      <c r="D619" s="1"/>
      <c r="E619" s="1" t="s">
        <v>2836</v>
      </c>
      <c r="F619" s="1"/>
      <c r="G619" s="1" t="s">
        <v>49</v>
      </c>
      <c r="H619" s="1" t="s">
        <v>50</v>
      </c>
      <c r="I619" s="1">
        <v>25000.0</v>
      </c>
      <c r="J619" s="1"/>
      <c r="K619" s="1" t="s">
        <v>51</v>
      </c>
      <c r="L619" s="1"/>
      <c r="M619" s="1" t="s">
        <v>2381</v>
      </c>
      <c r="N619" s="1" t="s">
        <v>977</v>
      </c>
      <c r="O619" s="1" t="s">
        <v>978</v>
      </c>
      <c r="P619" s="2">
        <v>43804.6407986111</v>
      </c>
      <c r="Q619" s="1" t="s">
        <v>74</v>
      </c>
      <c r="R619" s="1"/>
      <c r="S619" s="1"/>
      <c r="T619" s="1">
        <v>3534401.0</v>
      </c>
      <c r="U619" s="1" t="s">
        <v>1459</v>
      </c>
      <c r="V619" s="1" t="s">
        <v>58</v>
      </c>
      <c r="W619" s="1" t="s">
        <v>59</v>
      </c>
      <c r="X619" s="1"/>
      <c r="Y619" s="1"/>
      <c r="Z619" s="1" t="s">
        <v>980</v>
      </c>
      <c r="AA619" s="1" t="s">
        <v>2837</v>
      </c>
      <c r="AB619" s="1" t="str">
        <f>"01598243000136"</f>
        <v>01598243000136</v>
      </c>
      <c r="AC619" s="1"/>
      <c r="AD619" s="1" t="s">
        <v>149</v>
      </c>
      <c r="AE619" s="1"/>
      <c r="AF619" s="1">
        <v>-46.870277</v>
      </c>
      <c r="AG619" s="1">
        <v>-23.599443</v>
      </c>
      <c r="AH619" s="1" t="s">
        <v>982</v>
      </c>
      <c r="AI619" s="1"/>
      <c r="AJ619" s="1" t="s">
        <v>172</v>
      </c>
      <c r="AK619" s="1"/>
      <c r="AL619" s="1"/>
      <c r="AM619" s="1" t="s">
        <v>65</v>
      </c>
      <c r="AN619" s="1" t="s">
        <v>983</v>
      </c>
      <c r="AO619" s="1"/>
      <c r="AP619" s="2">
        <v>44008.7406597222</v>
      </c>
      <c r="AQ619" s="1"/>
      <c r="AR619" s="1" t="s">
        <v>984</v>
      </c>
      <c r="AS619" s="1" t="s">
        <v>2383</v>
      </c>
      <c r="AT619" s="2">
        <v>44269.931099537</v>
      </c>
    </row>
    <row r="620" ht="13.5" customHeight="1">
      <c r="A620" s="1"/>
      <c r="B620" s="1" t="s">
        <v>46</v>
      </c>
      <c r="C620" s="1" t="s">
        <v>47</v>
      </c>
      <c r="D620" s="1"/>
      <c r="E620" s="1" t="s">
        <v>2838</v>
      </c>
      <c r="F620" s="1"/>
      <c r="G620" s="1" t="s">
        <v>49</v>
      </c>
      <c r="H620" s="1" t="s">
        <v>93</v>
      </c>
      <c r="I620" s="1">
        <v>1000.0</v>
      </c>
      <c r="J620" s="1"/>
      <c r="K620" s="1"/>
      <c r="L620" s="1"/>
      <c r="M620" s="1" t="s">
        <v>2839</v>
      </c>
      <c r="N620" s="1" t="s">
        <v>142</v>
      </c>
      <c r="O620" s="1" t="s">
        <v>143</v>
      </c>
      <c r="P620" s="2">
        <v>43804.6343981481</v>
      </c>
      <c r="Q620" s="1" t="s">
        <v>373</v>
      </c>
      <c r="R620" s="1"/>
      <c r="S620" s="1"/>
      <c r="T620" s="1">
        <v>5102504.0</v>
      </c>
      <c r="U620" s="1" t="s">
        <v>2840</v>
      </c>
      <c r="V620" s="1" t="s">
        <v>164</v>
      </c>
      <c r="W620" s="1" t="s">
        <v>127</v>
      </c>
      <c r="X620" s="1"/>
      <c r="Y620" s="1"/>
      <c r="Z620" s="1" t="s">
        <v>147</v>
      </c>
      <c r="AA620" s="1" t="s">
        <v>2841</v>
      </c>
      <c r="AB620" s="1" t="str">
        <f>"***149301**"</f>
        <v>***149301**</v>
      </c>
      <c r="AC620" s="1"/>
      <c r="AD620" s="1" t="s">
        <v>62</v>
      </c>
      <c r="AE620" s="1"/>
      <c r="AF620" s="1">
        <v>-57.683056</v>
      </c>
      <c r="AG620" s="1">
        <v>-16.148056</v>
      </c>
      <c r="AH620" s="1" t="s">
        <v>2842</v>
      </c>
      <c r="AI620" s="1"/>
      <c r="AJ620" s="1" t="s">
        <v>167</v>
      </c>
      <c r="AK620" s="1"/>
      <c r="AL620" s="1"/>
      <c r="AM620" s="1" t="s">
        <v>65</v>
      </c>
      <c r="AN620" s="1" t="s">
        <v>168</v>
      </c>
      <c r="AO620" s="1"/>
      <c r="AP620" s="2">
        <v>43804.6491087963</v>
      </c>
      <c r="AQ620" s="1"/>
      <c r="AR620" s="1" t="s">
        <v>2843</v>
      </c>
      <c r="AS620" s="1"/>
      <c r="AT620" s="2">
        <v>44269.931099537</v>
      </c>
    </row>
    <row r="621" ht="13.5" customHeight="1">
      <c r="A621" s="1">
        <v>2035989.0</v>
      </c>
      <c r="B621" s="1" t="s">
        <v>67</v>
      </c>
      <c r="C621" s="1" t="s">
        <v>68</v>
      </c>
      <c r="D621" s="1" t="s">
        <v>46</v>
      </c>
      <c r="E621" s="1" t="s">
        <v>2844</v>
      </c>
      <c r="F621" s="1"/>
      <c r="G621" s="1" t="s">
        <v>70</v>
      </c>
      <c r="H621" s="1" t="s">
        <v>50</v>
      </c>
      <c r="I621" s="1">
        <v>20000.0</v>
      </c>
      <c r="J621" s="1"/>
      <c r="K621" s="1"/>
      <c r="L621" s="1" t="s">
        <v>172</v>
      </c>
      <c r="M621" s="1" t="s">
        <v>2845</v>
      </c>
      <c r="N621" s="1" t="s">
        <v>72</v>
      </c>
      <c r="O621" s="1" t="s">
        <v>73</v>
      </c>
      <c r="P621" s="2">
        <v>43804.625</v>
      </c>
      <c r="Q621" s="1" t="s">
        <v>74</v>
      </c>
      <c r="R621" s="3">
        <v>43808.0</v>
      </c>
      <c r="S621" s="1"/>
      <c r="T621" s="1">
        <v>1100080.0</v>
      </c>
      <c r="U621" s="1" t="s">
        <v>1392</v>
      </c>
      <c r="V621" s="1" t="s">
        <v>448</v>
      </c>
      <c r="W621" s="1" t="s">
        <v>177</v>
      </c>
      <c r="X621" s="1"/>
      <c r="Y621" s="1" t="str">
        <f>"02001009357202021"</f>
        <v>02001009357202021</v>
      </c>
      <c r="Z621" s="1" t="s">
        <v>76</v>
      </c>
      <c r="AA621" s="1" t="s">
        <v>2846</v>
      </c>
      <c r="AB621" s="1" t="str">
        <f>"***664508**"</f>
        <v>***664508**</v>
      </c>
      <c r="AC621" s="1"/>
      <c r="AD621" s="1"/>
      <c r="AE621" s="1"/>
      <c r="AF621" s="1">
        <v>-64.074722</v>
      </c>
      <c r="AG621" s="1">
        <v>-12.402499</v>
      </c>
      <c r="AH621" s="1" t="s">
        <v>2847</v>
      </c>
      <c r="AI621" s="1"/>
      <c r="AJ621" s="1" t="s">
        <v>172</v>
      </c>
      <c r="AK621" s="1"/>
      <c r="AL621" s="1" t="s">
        <v>79</v>
      </c>
      <c r="AM621" s="1" t="s">
        <v>65</v>
      </c>
      <c r="AN621" s="1" t="s">
        <v>1395</v>
      </c>
      <c r="AO621" s="2">
        <v>43923.0</v>
      </c>
      <c r="AP621" s="2">
        <v>43923.7018981481</v>
      </c>
      <c r="AQ621" s="1" t="s">
        <v>80</v>
      </c>
      <c r="AR621" s="1" t="s">
        <v>1607</v>
      </c>
      <c r="AS621" s="1"/>
      <c r="AT621" s="2">
        <v>44269.931099537</v>
      </c>
    </row>
    <row r="622" ht="13.5" customHeight="1">
      <c r="A622" s="1">
        <v>2035990.0</v>
      </c>
      <c r="B622" s="1" t="s">
        <v>67</v>
      </c>
      <c r="C622" s="1" t="s">
        <v>68</v>
      </c>
      <c r="D622" s="1" t="s">
        <v>46</v>
      </c>
      <c r="E622" s="1" t="s">
        <v>2848</v>
      </c>
      <c r="F622" s="1"/>
      <c r="G622" s="1" t="s">
        <v>70</v>
      </c>
      <c r="H622" s="1" t="s">
        <v>50</v>
      </c>
      <c r="I622" s="1">
        <v>61000.0</v>
      </c>
      <c r="J622" s="1"/>
      <c r="K622" s="1"/>
      <c r="L622" s="1" t="s">
        <v>172</v>
      </c>
      <c r="M622" s="1" t="s">
        <v>2849</v>
      </c>
      <c r="N622" s="1" t="s">
        <v>72</v>
      </c>
      <c r="O622" s="1" t="s">
        <v>73</v>
      </c>
      <c r="P622" s="2">
        <v>43804.625</v>
      </c>
      <c r="Q622" s="1" t="s">
        <v>74</v>
      </c>
      <c r="R622" s="3">
        <v>43808.0</v>
      </c>
      <c r="S622" s="1"/>
      <c r="T622" s="1">
        <v>1100080.0</v>
      </c>
      <c r="U622" s="1" t="s">
        <v>1392</v>
      </c>
      <c r="V622" s="1" t="s">
        <v>448</v>
      </c>
      <c r="W622" s="1" t="s">
        <v>177</v>
      </c>
      <c r="X622" s="1"/>
      <c r="Y622" s="1" t="str">
        <f>"02001009358202075"</f>
        <v>02001009358202075</v>
      </c>
      <c r="Z622" s="1" t="s">
        <v>76</v>
      </c>
      <c r="AA622" s="1" t="s">
        <v>2850</v>
      </c>
      <c r="AB622" s="1" t="str">
        <f>"***854472**"</f>
        <v>***854472**</v>
      </c>
      <c r="AC622" s="1"/>
      <c r="AD622" s="1"/>
      <c r="AE622" s="1"/>
      <c r="AF622" s="1">
        <v>-65.087784</v>
      </c>
      <c r="AG622" s="1">
        <v>-12.402778</v>
      </c>
      <c r="AH622" s="1" t="s">
        <v>2851</v>
      </c>
      <c r="AI622" s="1"/>
      <c r="AJ622" s="1" t="s">
        <v>172</v>
      </c>
      <c r="AK622" s="1"/>
      <c r="AL622" s="1" t="s">
        <v>79</v>
      </c>
      <c r="AM622" s="1" t="s">
        <v>65</v>
      </c>
      <c r="AN622" s="1" t="s">
        <v>1395</v>
      </c>
      <c r="AO622" s="2">
        <v>43923.0</v>
      </c>
      <c r="AP622" s="2">
        <v>43923.7021643519</v>
      </c>
      <c r="AQ622" s="1" t="s">
        <v>80</v>
      </c>
      <c r="AR622" s="1" t="s">
        <v>1607</v>
      </c>
      <c r="AS622" s="1"/>
      <c r="AT622" s="2">
        <v>44269.931099537</v>
      </c>
    </row>
    <row r="623" ht="13.5" customHeight="1">
      <c r="A623" s="1"/>
      <c r="B623" s="1" t="s">
        <v>46</v>
      </c>
      <c r="C623" s="1" t="s">
        <v>47</v>
      </c>
      <c r="D623" s="1"/>
      <c r="E623" s="1" t="s">
        <v>2852</v>
      </c>
      <c r="F623" s="1"/>
      <c r="G623" s="1" t="s">
        <v>49</v>
      </c>
      <c r="H623" s="1" t="s">
        <v>50</v>
      </c>
      <c r="I623" s="1">
        <v>100000.0</v>
      </c>
      <c r="J623" s="1"/>
      <c r="K623" s="1" t="s">
        <v>51</v>
      </c>
      <c r="L623" s="1"/>
      <c r="M623" s="1" t="s">
        <v>2853</v>
      </c>
      <c r="N623" s="1" t="s">
        <v>283</v>
      </c>
      <c r="O623" s="1" t="s">
        <v>1133</v>
      </c>
      <c r="P623" s="2">
        <v>43804.6216898148</v>
      </c>
      <c r="Q623" s="1" t="s">
        <v>74</v>
      </c>
      <c r="R623" s="1"/>
      <c r="S623" s="1"/>
      <c r="T623" s="1">
        <v>3304524.0</v>
      </c>
      <c r="U623" s="1" t="s">
        <v>2854</v>
      </c>
      <c r="V623" s="1" t="s">
        <v>287</v>
      </c>
      <c r="W623" s="1" t="s">
        <v>288</v>
      </c>
      <c r="X623" s="1"/>
      <c r="Y623" s="1"/>
      <c r="Z623" s="1" t="s">
        <v>128</v>
      </c>
      <c r="AA623" s="1" t="s">
        <v>289</v>
      </c>
      <c r="AB623" s="1" t="str">
        <f>"33000167000101"</f>
        <v>33000167000101</v>
      </c>
      <c r="AC623" s="1"/>
      <c r="AD623" s="1" t="s">
        <v>149</v>
      </c>
      <c r="AE623" s="1"/>
      <c r="AF623" s="1">
        <v>-50.259724</v>
      </c>
      <c r="AG623" s="1">
        <v>-22.550278</v>
      </c>
      <c r="AH623" s="1" t="s">
        <v>2855</v>
      </c>
      <c r="AI623" s="1"/>
      <c r="AJ623" s="1" t="s">
        <v>172</v>
      </c>
      <c r="AK623" s="1"/>
      <c r="AL623" s="1"/>
      <c r="AM623" s="1" t="s">
        <v>65</v>
      </c>
      <c r="AN623" s="1" t="s">
        <v>720</v>
      </c>
      <c r="AO623" s="1"/>
      <c r="AP623" s="2">
        <v>44013.7218865741</v>
      </c>
      <c r="AQ623" s="1"/>
      <c r="AR623" s="1" t="s">
        <v>1360</v>
      </c>
      <c r="AS623" s="1" t="s">
        <v>2856</v>
      </c>
      <c r="AT623" s="2">
        <v>44269.931099537</v>
      </c>
    </row>
    <row r="624" ht="13.5" customHeight="1">
      <c r="A624" s="1"/>
      <c r="B624" s="1" t="s">
        <v>46</v>
      </c>
      <c r="C624" s="1" t="s">
        <v>47</v>
      </c>
      <c r="D624" s="1"/>
      <c r="E624" s="1" t="s">
        <v>2857</v>
      </c>
      <c r="F624" s="1"/>
      <c r="G624" s="1" t="s">
        <v>49</v>
      </c>
      <c r="H624" s="1" t="s">
        <v>50</v>
      </c>
      <c r="I624" s="1">
        <v>9000.0</v>
      </c>
      <c r="J624" s="1"/>
      <c r="K624" s="1" t="s">
        <v>51</v>
      </c>
      <c r="L624" s="1"/>
      <c r="M624" s="1" t="s">
        <v>2381</v>
      </c>
      <c r="N624" s="1" t="s">
        <v>977</v>
      </c>
      <c r="O624" s="1" t="s">
        <v>978</v>
      </c>
      <c r="P624" s="2">
        <v>43804.6187152778</v>
      </c>
      <c r="Q624" s="1" t="s">
        <v>74</v>
      </c>
      <c r="R624" s="1"/>
      <c r="S624" s="1"/>
      <c r="T624" s="1">
        <v>3534401.0</v>
      </c>
      <c r="U624" s="1" t="s">
        <v>1459</v>
      </c>
      <c r="V624" s="1" t="s">
        <v>58</v>
      </c>
      <c r="W624" s="1" t="s">
        <v>59</v>
      </c>
      <c r="X624" s="1"/>
      <c r="Y624" s="1"/>
      <c r="Z624" s="1" t="s">
        <v>980</v>
      </c>
      <c r="AA624" s="1" t="s">
        <v>2858</v>
      </c>
      <c r="AB624" s="1" t="str">
        <f>"22428662000108"</f>
        <v>22428662000108</v>
      </c>
      <c r="AC624" s="1"/>
      <c r="AD624" s="1" t="s">
        <v>149</v>
      </c>
      <c r="AE624" s="1"/>
      <c r="AF624" s="1">
        <v>-46.842777</v>
      </c>
      <c r="AG624" s="1">
        <v>-23.613888</v>
      </c>
      <c r="AH624" s="1" t="s">
        <v>982</v>
      </c>
      <c r="AI624" s="1"/>
      <c r="AJ624" s="1" t="s">
        <v>172</v>
      </c>
      <c r="AK624" s="1"/>
      <c r="AL624" s="1"/>
      <c r="AM624" s="1" t="s">
        <v>65</v>
      </c>
      <c r="AN624" s="1" t="s">
        <v>983</v>
      </c>
      <c r="AO624" s="1"/>
      <c r="AP624" s="2">
        <v>44008.7407638889</v>
      </c>
      <c r="AQ624" s="1"/>
      <c r="AR624" s="1" t="s">
        <v>984</v>
      </c>
      <c r="AS624" s="1" t="s">
        <v>2383</v>
      </c>
      <c r="AT624" s="2">
        <v>44269.931099537</v>
      </c>
    </row>
    <row r="625" ht="13.5" customHeight="1">
      <c r="A625" s="1"/>
      <c r="B625" s="1" t="s">
        <v>46</v>
      </c>
      <c r="C625" s="1" t="s">
        <v>47</v>
      </c>
      <c r="D625" s="1"/>
      <c r="E625" s="1" t="s">
        <v>2859</v>
      </c>
      <c r="F625" s="1"/>
      <c r="G625" s="1" t="s">
        <v>49</v>
      </c>
      <c r="H625" s="1" t="s">
        <v>93</v>
      </c>
      <c r="I625" s="1">
        <v>735000.0</v>
      </c>
      <c r="J625" s="1"/>
      <c r="K625" s="1"/>
      <c r="L625" s="1"/>
      <c r="M625" s="1" t="s">
        <v>2860</v>
      </c>
      <c r="N625" s="1" t="s">
        <v>142</v>
      </c>
      <c r="O625" s="1" t="s">
        <v>143</v>
      </c>
      <c r="P625" s="2">
        <v>43804.5969907407</v>
      </c>
      <c r="Q625" s="1" t="s">
        <v>74</v>
      </c>
      <c r="R625" s="1"/>
      <c r="S625" s="1"/>
      <c r="T625" s="1">
        <v>1101492.0</v>
      </c>
      <c r="U625" s="1" t="s">
        <v>2181</v>
      </c>
      <c r="V625" s="1" t="s">
        <v>448</v>
      </c>
      <c r="W625" s="1" t="s">
        <v>177</v>
      </c>
      <c r="X625" s="1"/>
      <c r="Y625" s="1"/>
      <c r="Z625" s="1" t="s">
        <v>147</v>
      </c>
      <c r="AA625" s="1" t="s">
        <v>2861</v>
      </c>
      <c r="AB625" s="1" t="str">
        <f>"***440192**"</f>
        <v>***440192**</v>
      </c>
      <c r="AC625" s="1"/>
      <c r="AD625" s="1" t="s">
        <v>116</v>
      </c>
      <c r="AE625" s="1"/>
      <c r="AF625" s="1">
        <v>-63.922501</v>
      </c>
      <c r="AG625" s="1">
        <v>-12.032222</v>
      </c>
      <c r="AH625" s="1" t="s">
        <v>2862</v>
      </c>
      <c r="AI625" s="1"/>
      <c r="AJ625" s="1" t="s">
        <v>172</v>
      </c>
      <c r="AK625" s="1"/>
      <c r="AL625" s="1"/>
      <c r="AM625" s="1" t="s">
        <v>65</v>
      </c>
      <c r="AN625" s="1" t="s">
        <v>1395</v>
      </c>
      <c r="AO625" s="1"/>
      <c r="AP625" s="2">
        <v>43804.6151388889</v>
      </c>
      <c r="AQ625" s="1"/>
      <c r="AR625" s="1" t="s">
        <v>2863</v>
      </c>
      <c r="AS625" s="1"/>
      <c r="AT625" s="2">
        <v>44269.931099537</v>
      </c>
    </row>
    <row r="626" ht="13.5" customHeight="1">
      <c r="A626" s="1"/>
      <c r="B626" s="1" t="s">
        <v>46</v>
      </c>
      <c r="C626" s="1" t="s">
        <v>47</v>
      </c>
      <c r="D626" s="1"/>
      <c r="E626" s="1" t="s">
        <v>2864</v>
      </c>
      <c r="F626" s="1"/>
      <c r="G626" s="1" t="s">
        <v>49</v>
      </c>
      <c r="H626" s="1" t="s">
        <v>50</v>
      </c>
      <c r="I626" s="1">
        <v>105000.0</v>
      </c>
      <c r="J626" s="1"/>
      <c r="K626" s="1" t="s">
        <v>51</v>
      </c>
      <c r="L626" s="1"/>
      <c r="M626" s="1" t="s">
        <v>2381</v>
      </c>
      <c r="N626" s="1" t="s">
        <v>977</v>
      </c>
      <c r="O626" s="1" t="s">
        <v>978</v>
      </c>
      <c r="P626" s="2">
        <v>43804.5933680556</v>
      </c>
      <c r="Q626" s="1" t="s">
        <v>74</v>
      </c>
      <c r="R626" s="1"/>
      <c r="S626" s="1"/>
      <c r="T626" s="1">
        <v>3550308.0</v>
      </c>
      <c r="U626" s="1" t="s">
        <v>607</v>
      </c>
      <c r="V626" s="1" t="s">
        <v>58</v>
      </c>
      <c r="W626" s="1" t="s">
        <v>59</v>
      </c>
      <c r="X626" s="1"/>
      <c r="Y626" s="1"/>
      <c r="Z626" s="1" t="s">
        <v>980</v>
      </c>
      <c r="AA626" s="1" t="s">
        <v>2865</v>
      </c>
      <c r="AB626" s="1" t="str">
        <f>"02877654000123"</f>
        <v>02877654000123</v>
      </c>
      <c r="AC626" s="1"/>
      <c r="AD626" s="1" t="s">
        <v>149</v>
      </c>
      <c r="AE626" s="1"/>
      <c r="AF626" s="1">
        <v>-46.848057</v>
      </c>
      <c r="AG626" s="1">
        <v>-23.707777</v>
      </c>
      <c r="AH626" s="1" t="s">
        <v>982</v>
      </c>
      <c r="AI626" s="1"/>
      <c r="AJ626" s="1" t="s">
        <v>172</v>
      </c>
      <c r="AK626" s="1"/>
      <c r="AL626" s="1"/>
      <c r="AM626" s="1" t="s">
        <v>65</v>
      </c>
      <c r="AN626" s="1" t="s">
        <v>983</v>
      </c>
      <c r="AO626" s="1"/>
      <c r="AP626" s="2">
        <v>44008.7408912037</v>
      </c>
      <c r="AQ626" s="1"/>
      <c r="AR626" s="1" t="s">
        <v>984</v>
      </c>
      <c r="AS626" s="1" t="s">
        <v>2866</v>
      </c>
      <c r="AT626" s="2">
        <v>44269.931099537</v>
      </c>
    </row>
    <row r="627" ht="13.5" customHeight="1">
      <c r="A627" s="1">
        <v>2037462.0</v>
      </c>
      <c r="B627" s="1" t="s">
        <v>67</v>
      </c>
      <c r="C627" s="1" t="s">
        <v>68</v>
      </c>
      <c r="D627" s="1" t="s">
        <v>46</v>
      </c>
      <c r="E627" s="1" t="s">
        <v>2867</v>
      </c>
      <c r="F627" s="1"/>
      <c r="G627" s="1" t="s">
        <v>70</v>
      </c>
      <c r="H627" s="1" t="s">
        <v>50</v>
      </c>
      <c r="I627" s="1">
        <v>165000.0</v>
      </c>
      <c r="J627" s="1"/>
      <c r="K627" s="1"/>
      <c r="L627" s="1" t="s">
        <v>172</v>
      </c>
      <c r="M627" s="1" t="s">
        <v>2381</v>
      </c>
      <c r="N627" s="1" t="s">
        <v>283</v>
      </c>
      <c r="O627" s="1" t="s">
        <v>978</v>
      </c>
      <c r="P627" s="2">
        <v>43804.5833333333</v>
      </c>
      <c r="Q627" s="1" t="s">
        <v>74</v>
      </c>
      <c r="R627" s="1"/>
      <c r="S627" s="1"/>
      <c r="T627" s="1">
        <v>3543303.0</v>
      </c>
      <c r="U627" s="1" t="s">
        <v>2868</v>
      </c>
      <c r="V627" s="1" t="s">
        <v>58</v>
      </c>
      <c r="W627" s="1" t="s">
        <v>59</v>
      </c>
      <c r="X627" s="1"/>
      <c r="Y627" s="1" t="str">
        <f>"02001036474201923"</f>
        <v>02001036474201923</v>
      </c>
      <c r="Z627" s="1" t="s">
        <v>980</v>
      </c>
      <c r="AA627" s="1" t="s">
        <v>2869</v>
      </c>
      <c r="AB627" s="1" t="str">
        <f>"07408046000193"</f>
        <v>07408046000193</v>
      </c>
      <c r="AC627" s="1"/>
      <c r="AD627" s="1"/>
      <c r="AE627" s="1"/>
      <c r="AF627" s="1">
        <v>-46.525833</v>
      </c>
      <c r="AG627" s="1">
        <v>-23.788332</v>
      </c>
      <c r="AH627" s="1" t="s">
        <v>982</v>
      </c>
      <c r="AI627" s="1"/>
      <c r="AJ627" s="1" t="s">
        <v>172</v>
      </c>
      <c r="AK627" s="1"/>
      <c r="AL627" s="1" t="s">
        <v>79</v>
      </c>
      <c r="AM627" s="1" t="s">
        <v>65</v>
      </c>
      <c r="AN627" s="1" t="s">
        <v>983</v>
      </c>
      <c r="AO627" s="2">
        <v>43998.0</v>
      </c>
      <c r="AP627" s="2">
        <v>43998.5072569445</v>
      </c>
      <c r="AQ627" s="1" t="s">
        <v>80</v>
      </c>
      <c r="AR627" s="1" t="s">
        <v>1050</v>
      </c>
      <c r="AS627" s="1" t="s">
        <v>2383</v>
      </c>
      <c r="AT627" s="2">
        <v>44269.931099537</v>
      </c>
    </row>
    <row r="628" ht="13.5" customHeight="1">
      <c r="A628" s="1"/>
      <c r="B628" s="1" t="s">
        <v>46</v>
      </c>
      <c r="C628" s="1" t="s">
        <v>47</v>
      </c>
      <c r="D628" s="1"/>
      <c r="E628" s="1" t="s">
        <v>2870</v>
      </c>
      <c r="F628" s="1"/>
      <c r="G628" s="1" t="s">
        <v>49</v>
      </c>
      <c r="H628" s="1" t="s">
        <v>50</v>
      </c>
      <c r="I628" s="1">
        <v>300.0</v>
      </c>
      <c r="J628" s="1"/>
      <c r="K628" s="1" t="s">
        <v>51</v>
      </c>
      <c r="L628" s="1"/>
      <c r="M628" s="1" t="s">
        <v>2871</v>
      </c>
      <c r="N628" s="1" t="s">
        <v>53</v>
      </c>
      <c r="O628" s="1" t="s">
        <v>54</v>
      </c>
      <c r="P628" s="2">
        <v>43804.5811111111</v>
      </c>
      <c r="Q628" s="1" t="s">
        <v>55</v>
      </c>
      <c r="R628" s="1"/>
      <c r="S628" s="1"/>
      <c r="T628" s="1">
        <v>2302206.0</v>
      </c>
      <c r="U628" s="1" t="s">
        <v>1331</v>
      </c>
      <c r="V628" s="1" t="s">
        <v>112</v>
      </c>
      <c r="W628" s="1" t="s">
        <v>288</v>
      </c>
      <c r="X628" s="1"/>
      <c r="Y628" s="1"/>
      <c r="Z628" s="1" t="s">
        <v>60</v>
      </c>
      <c r="AA628" s="1" t="s">
        <v>2872</v>
      </c>
      <c r="AB628" s="1" t="str">
        <f>"***502413**"</f>
        <v>***502413**</v>
      </c>
      <c r="AC628" s="1"/>
      <c r="AD628" s="1" t="s">
        <v>149</v>
      </c>
      <c r="AE628" s="1"/>
      <c r="AF628" s="1">
        <v>-37.848888</v>
      </c>
      <c r="AG628" s="1">
        <v>-4.401111</v>
      </c>
      <c r="AH628" s="1" t="s">
        <v>2873</v>
      </c>
      <c r="AI628" s="1"/>
      <c r="AJ628" s="1" t="s">
        <v>106</v>
      </c>
      <c r="AK628" s="1"/>
      <c r="AL628" s="1"/>
      <c r="AM628" s="1" t="s">
        <v>65</v>
      </c>
      <c r="AN628" s="1" t="s">
        <v>2874</v>
      </c>
      <c r="AO628" s="1"/>
      <c r="AP628" s="2">
        <v>43804.5863194444</v>
      </c>
      <c r="AQ628" s="1"/>
      <c r="AR628" s="1" t="s">
        <v>2875</v>
      </c>
      <c r="AS628" s="1"/>
      <c r="AT628" s="2">
        <v>44269.931099537</v>
      </c>
    </row>
    <row r="629" ht="13.5" customHeight="1">
      <c r="A629" s="1"/>
      <c r="B629" s="1" t="s">
        <v>46</v>
      </c>
      <c r="C629" s="1" t="s">
        <v>47</v>
      </c>
      <c r="D629" s="1"/>
      <c r="E629" s="1" t="s">
        <v>2876</v>
      </c>
      <c r="F629" s="1"/>
      <c r="G629" s="1" t="s">
        <v>49</v>
      </c>
      <c r="H629" s="1" t="s">
        <v>93</v>
      </c>
      <c r="I629" s="1">
        <v>1605000.0</v>
      </c>
      <c r="J629" s="1"/>
      <c r="K629" s="1" t="s">
        <v>51</v>
      </c>
      <c r="L629" s="1"/>
      <c r="M629" s="1" t="s">
        <v>2670</v>
      </c>
      <c r="N629" s="1" t="s">
        <v>977</v>
      </c>
      <c r="O629" s="1" t="s">
        <v>978</v>
      </c>
      <c r="P629" s="2">
        <v>43804.5805439815</v>
      </c>
      <c r="Q629" s="1" t="s">
        <v>74</v>
      </c>
      <c r="R629" s="1"/>
      <c r="S629" s="1"/>
      <c r="T629" s="1">
        <v>3538709.0</v>
      </c>
      <c r="U629" s="1" t="s">
        <v>2877</v>
      </c>
      <c r="V629" s="1" t="s">
        <v>58</v>
      </c>
      <c r="W629" s="1" t="s">
        <v>59</v>
      </c>
      <c r="X629" s="1"/>
      <c r="Y629" s="1"/>
      <c r="Z629" s="1" t="s">
        <v>980</v>
      </c>
      <c r="AA629" s="1" t="s">
        <v>2878</v>
      </c>
      <c r="AB629" s="1" t="str">
        <f>"61064911000177"</f>
        <v>61064911000177</v>
      </c>
      <c r="AC629" s="1"/>
      <c r="AD629" s="1" t="s">
        <v>149</v>
      </c>
      <c r="AE629" s="1"/>
      <c r="AF629" s="1">
        <v>-47.699165</v>
      </c>
      <c r="AG629" s="1">
        <v>-22.763334</v>
      </c>
      <c r="AH629" s="1" t="s">
        <v>2878</v>
      </c>
      <c r="AI629" s="1"/>
      <c r="AJ629" s="1" t="s">
        <v>172</v>
      </c>
      <c r="AK629" s="1"/>
      <c r="AL629" s="1"/>
      <c r="AM629" s="1" t="s">
        <v>65</v>
      </c>
      <c r="AN629" s="1" t="s">
        <v>983</v>
      </c>
      <c r="AO629" s="1"/>
      <c r="AP629" s="2">
        <v>43992.5400462963</v>
      </c>
      <c r="AQ629" s="1"/>
      <c r="AR629" s="1" t="s">
        <v>984</v>
      </c>
      <c r="AS629" s="1" t="s">
        <v>2695</v>
      </c>
      <c r="AT629" s="2">
        <v>44269.931099537</v>
      </c>
    </row>
    <row r="630" ht="13.5" customHeight="1">
      <c r="A630" s="1"/>
      <c r="B630" s="1" t="s">
        <v>46</v>
      </c>
      <c r="C630" s="1" t="s">
        <v>47</v>
      </c>
      <c r="D630" s="1"/>
      <c r="E630" s="1" t="s">
        <v>2879</v>
      </c>
      <c r="F630" s="1"/>
      <c r="G630" s="1" t="s">
        <v>49</v>
      </c>
      <c r="H630" s="1" t="s">
        <v>93</v>
      </c>
      <c r="I630" s="1">
        <v>525000.0</v>
      </c>
      <c r="J630" s="1"/>
      <c r="K630" s="1"/>
      <c r="L630" s="1"/>
      <c r="M630" s="1" t="s">
        <v>2880</v>
      </c>
      <c r="N630" s="1" t="s">
        <v>142</v>
      </c>
      <c r="O630" s="1" t="s">
        <v>143</v>
      </c>
      <c r="P630" s="2">
        <v>43804.5775925926</v>
      </c>
      <c r="Q630" s="1" t="s">
        <v>74</v>
      </c>
      <c r="R630" s="1"/>
      <c r="S630" s="1"/>
      <c r="T630" s="1">
        <v>1100080.0</v>
      </c>
      <c r="U630" s="1" t="s">
        <v>1392</v>
      </c>
      <c r="V630" s="1" t="s">
        <v>448</v>
      </c>
      <c r="W630" s="1" t="s">
        <v>177</v>
      </c>
      <c r="X630" s="1"/>
      <c r="Y630" s="1"/>
      <c r="Z630" s="1" t="s">
        <v>147</v>
      </c>
      <c r="AA630" s="1" t="s">
        <v>2881</v>
      </c>
      <c r="AB630" s="1" t="str">
        <f>"***287299**"</f>
        <v>***287299**</v>
      </c>
      <c r="AC630" s="1"/>
      <c r="AD630" s="1" t="s">
        <v>116</v>
      </c>
      <c r="AE630" s="1"/>
      <c r="AF630" s="1">
        <v>-63.144165</v>
      </c>
      <c r="AG630" s="1">
        <v>-12.127501</v>
      </c>
      <c r="AH630" s="1" t="s">
        <v>2882</v>
      </c>
      <c r="AI630" s="1"/>
      <c r="AJ630" s="1" t="s">
        <v>172</v>
      </c>
      <c r="AK630" s="1"/>
      <c r="AL630" s="1"/>
      <c r="AM630" s="1" t="s">
        <v>65</v>
      </c>
      <c r="AN630" s="1" t="s">
        <v>1395</v>
      </c>
      <c r="AO630" s="1"/>
      <c r="AP630" s="2">
        <v>43804.5834259259</v>
      </c>
      <c r="AQ630" s="1"/>
      <c r="AR630" s="1" t="s">
        <v>2863</v>
      </c>
      <c r="AS630" s="1"/>
      <c r="AT630" s="2">
        <v>44269.931099537</v>
      </c>
    </row>
    <row r="631" ht="13.5" customHeight="1">
      <c r="A631" s="1"/>
      <c r="B631" s="1" t="s">
        <v>46</v>
      </c>
      <c r="C631" s="1" t="s">
        <v>47</v>
      </c>
      <c r="D631" s="1"/>
      <c r="E631" s="1" t="s">
        <v>2883</v>
      </c>
      <c r="F631" s="1"/>
      <c r="G631" s="1" t="s">
        <v>49</v>
      </c>
      <c r="H631" s="1" t="s">
        <v>93</v>
      </c>
      <c r="I631" s="1">
        <v>550000.0</v>
      </c>
      <c r="J631" s="1"/>
      <c r="K631" s="1"/>
      <c r="L631" s="1"/>
      <c r="M631" s="1" t="s">
        <v>2884</v>
      </c>
      <c r="N631" s="1" t="s">
        <v>142</v>
      </c>
      <c r="O631" s="1" t="s">
        <v>143</v>
      </c>
      <c r="P631" s="2">
        <v>43804.5514930556</v>
      </c>
      <c r="Q631" s="1" t="s">
        <v>74</v>
      </c>
      <c r="R631" s="1"/>
      <c r="S631" s="1"/>
      <c r="T631" s="1">
        <v>1101492.0</v>
      </c>
      <c r="U631" s="1" t="s">
        <v>2181</v>
      </c>
      <c r="V631" s="1" t="s">
        <v>448</v>
      </c>
      <c r="W631" s="1" t="s">
        <v>177</v>
      </c>
      <c r="X631" s="1"/>
      <c r="Y631" s="1"/>
      <c r="Z631" s="1" t="s">
        <v>147</v>
      </c>
      <c r="AA631" s="1" t="s">
        <v>2885</v>
      </c>
      <c r="AB631" s="1" t="str">
        <f>"***144242**"</f>
        <v>***144242**</v>
      </c>
      <c r="AC631" s="1"/>
      <c r="AD631" s="1" t="s">
        <v>116</v>
      </c>
      <c r="AE631" s="1"/>
      <c r="AF631" s="1">
        <v>-63.922501</v>
      </c>
      <c r="AG631" s="1">
        <v>-12.049167</v>
      </c>
      <c r="AH631" s="1" t="s">
        <v>2886</v>
      </c>
      <c r="AI631" s="1"/>
      <c r="AJ631" s="1" t="s">
        <v>172</v>
      </c>
      <c r="AK631" s="1"/>
      <c r="AL631" s="1"/>
      <c r="AM631" s="1" t="s">
        <v>65</v>
      </c>
      <c r="AN631" s="1" t="s">
        <v>1395</v>
      </c>
      <c r="AO631" s="1"/>
      <c r="AP631" s="2">
        <v>43804.5546412037</v>
      </c>
      <c r="AQ631" s="1"/>
      <c r="AR631" s="1" t="s">
        <v>2863</v>
      </c>
      <c r="AS631" s="1"/>
      <c r="AT631" s="2">
        <v>44269.931099537</v>
      </c>
    </row>
    <row r="632" ht="13.5" customHeight="1">
      <c r="A632" s="1">
        <v>2035622.0</v>
      </c>
      <c r="B632" s="1" t="s">
        <v>67</v>
      </c>
      <c r="C632" s="1" t="s">
        <v>68</v>
      </c>
      <c r="D632" s="1" t="s">
        <v>46</v>
      </c>
      <c r="E632" s="1" t="s">
        <v>2887</v>
      </c>
      <c r="F632" s="1"/>
      <c r="G632" s="1" t="s">
        <v>70</v>
      </c>
      <c r="H632" s="1" t="s">
        <v>93</v>
      </c>
      <c r="I632" s="1">
        <v>13602.9</v>
      </c>
      <c r="J632" s="1"/>
      <c r="K632" s="1"/>
      <c r="L632" s="1" t="s">
        <v>501</v>
      </c>
      <c r="M632" s="1" t="s">
        <v>2888</v>
      </c>
      <c r="N632" s="1" t="s">
        <v>142</v>
      </c>
      <c r="O632" s="1" t="s">
        <v>143</v>
      </c>
      <c r="P632" s="2">
        <v>43804.5416666667</v>
      </c>
      <c r="Q632" s="1" t="s">
        <v>74</v>
      </c>
      <c r="R632" s="3">
        <v>43804.0</v>
      </c>
      <c r="S632" s="1"/>
      <c r="T632" s="1">
        <v>2403251.0</v>
      </c>
      <c r="U632" s="1" t="s">
        <v>2889</v>
      </c>
      <c r="V632" s="1" t="s">
        <v>1424</v>
      </c>
      <c r="W632" s="1" t="s">
        <v>177</v>
      </c>
      <c r="X632" s="1"/>
      <c r="Y632" s="1" t="str">
        <f>"02021002172201913"</f>
        <v>02021002172201913</v>
      </c>
      <c r="Z632" s="1" t="s">
        <v>147</v>
      </c>
      <c r="AA632" s="1" t="s">
        <v>2890</v>
      </c>
      <c r="AB632" s="1" t="str">
        <f>"***502394**"</f>
        <v>***502394**</v>
      </c>
      <c r="AC632" s="1"/>
      <c r="AD632" s="1"/>
      <c r="AE632" s="1"/>
      <c r="AF632" s="1">
        <v>-35.250832</v>
      </c>
      <c r="AG632" s="1">
        <v>-5.890555</v>
      </c>
      <c r="AH632" s="1" t="s">
        <v>2891</v>
      </c>
      <c r="AI632" s="1"/>
      <c r="AJ632" s="1" t="s">
        <v>501</v>
      </c>
      <c r="AK632" s="1"/>
      <c r="AL632" s="1" t="s">
        <v>79</v>
      </c>
      <c r="AM632" s="1" t="s">
        <v>65</v>
      </c>
      <c r="AN632" s="1"/>
      <c r="AO632" s="2">
        <v>43909.0</v>
      </c>
      <c r="AP632" s="2">
        <v>43909.7439351852</v>
      </c>
      <c r="AQ632" s="1" t="s">
        <v>80</v>
      </c>
      <c r="AR632" s="1" t="s">
        <v>1291</v>
      </c>
      <c r="AS632" s="1"/>
      <c r="AT632" s="2">
        <v>44269.931099537</v>
      </c>
    </row>
    <row r="633" ht="13.5" customHeight="1">
      <c r="A633" s="1">
        <v>2035623.0</v>
      </c>
      <c r="B633" s="1" t="s">
        <v>67</v>
      </c>
      <c r="C633" s="1" t="s">
        <v>68</v>
      </c>
      <c r="D633" s="1" t="s">
        <v>46</v>
      </c>
      <c r="E633" s="1" t="s">
        <v>2892</v>
      </c>
      <c r="F633" s="1"/>
      <c r="G633" s="1" t="s">
        <v>70</v>
      </c>
      <c r="H633" s="1" t="s">
        <v>93</v>
      </c>
      <c r="I633" s="1">
        <v>13602.9</v>
      </c>
      <c r="J633" s="1"/>
      <c r="K633" s="1"/>
      <c r="L633" s="1" t="s">
        <v>501</v>
      </c>
      <c r="M633" s="1" t="s">
        <v>2893</v>
      </c>
      <c r="N633" s="1" t="s">
        <v>142</v>
      </c>
      <c r="O633" s="1" t="s">
        <v>143</v>
      </c>
      <c r="P633" s="2">
        <v>43804.5416666667</v>
      </c>
      <c r="Q633" s="1" t="s">
        <v>74</v>
      </c>
      <c r="R633" s="3">
        <v>43804.0</v>
      </c>
      <c r="S633" s="1"/>
      <c r="T633" s="1">
        <v>2403251.0</v>
      </c>
      <c r="U633" s="1" t="s">
        <v>2889</v>
      </c>
      <c r="V633" s="1" t="s">
        <v>1424</v>
      </c>
      <c r="W633" s="1" t="s">
        <v>177</v>
      </c>
      <c r="X633" s="1"/>
      <c r="Y633" s="1" t="str">
        <f>"02021002174201911"</f>
        <v>02021002174201911</v>
      </c>
      <c r="Z633" s="1" t="s">
        <v>147</v>
      </c>
      <c r="AA633" s="1" t="s">
        <v>2894</v>
      </c>
      <c r="AB633" s="1" t="str">
        <f>"***326674**"</f>
        <v>***326674**</v>
      </c>
      <c r="AC633" s="1"/>
      <c r="AD633" s="1"/>
      <c r="AE633" s="1"/>
      <c r="AF633" s="1">
        <v>-35.250832</v>
      </c>
      <c r="AG633" s="1">
        <v>-5.890555</v>
      </c>
      <c r="AH633" s="1" t="s">
        <v>2891</v>
      </c>
      <c r="AI633" s="1"/>
      <c r="AJ633" s="1" t="s">
        <v>501</v>
      </c>
      <c r="AK633" s="1"/>
      <c r="AL633" s="1" t="s">
        <v>79</v>
      </c>
      <c r="AM633" s="1" t="s">
        <v>65</v>
      </c>
      <c r="AN633" s="1"/>
      <c r="AO633" s="2">
        <v>43909.0</v>
      </c>
      <c r="AP633" s="2">
        <v>43909.7441782407</v>
      </c>
      <c r="AQ633" s="1" t="s">
        <v>80</v>
      </c>
      <c r="AR633" s="1" t="s">
        <v>181</v>
      </c>
      <c r="AS633" s="1"/>
      <c r="AT633" s="2">
        <v>44269.931099537</v>
      </c>
    </row>
    <row r="634" ht="13.5" customHeight="1">
      <c r="A634" s="1">
        <v>2040156.0</v>
      </c>
      <c r="B634" s="1" t="s">
        <v>67</v>
      </c>
      <c r="C634" s="1" t="s">
        <v>68</v>
      </c>
      <c r="D634" s="1" t="s">
        <v>46</v>
      </c>
      <c r="E634" s="1" t="s">
        <v>2895</v>
      </c>
      <c r="F634" s="1"/>
      <c r="G634" s="1" t="s">
        <v>70</v>
      </c>
      <c r="H634" s="1" t="s">
        <v>93</v>
      </c>
      <c r="I634" s="1">
        <v>30000.0</v>
      </c>
      <c r="J634" s="1"/>
      <c r="K634" s="1"/>
      <c r="L634" s="1" t="s">
        <v>1172</v>
      </c>
      <c r="M634" s="1" t="s">
        <v>2896</v>
      </c>
      <c r="N634" s="1" t="s">
        <v>142</v>
      </c>
      <c r="O634" s="1" t="s">
        <v>143</v>
      </c>
      <c r="P634" s="2">
        <v>43804.5416666667</v>
      </c>
      <c r="Q634" s="1" t="s">
        <v>373</v>
      </c>
      <c r="R634" s="3">
        <v>43804.0</v>
      </c>
      <c r="S634" s="1"/>
      <c r="T634" s="1">
        <v>1505064.0</v>
      </c>
      <c r="U634" s="1" t="s">
        <v>2897</v>
      </c>
      <c r="V634" s="1" t="s">
        <v>193</v>
      </c>
      <c r="W634" s="1" t="s">
        <v>177</v>
      </c>
      <c r="X634" s="1"/>
      <c r="Y634" s="1" t="str">
        <f>"02047000564202093"</f>
        <v>02047000564202093</v>
      </c>
      <c r="Z634" s="1" t="s">
        <v>147</v>
      </c>
      <c r="AA634" s="1" t="s">
        <v>2898</v>
      </c>
      <c r="AB634" s="1" t="str">
        <f>"***103281**"</f>
        <v>***103281**</v>
      </c>
      <c r="AC634" s="1"/>
      <c r="AD634" s="1"/>
      <c r="AE634" s="1"/>
      <c r="AF634" s="1">
        <v>-50.621113</v>
      </c>
      <c r="AG634" s="1">
        <v>-4.959445</v>
      </c>
      <c r="AH634" s="1" t="s">
        <v>2899</v>
      </c>
      <c r="AI634" s="1"/>
      <c r="AJ634" s="1" t="s">
        <v>1172</v>
      </c>
      <c r="AK634" s="1"/>
      <c r="AL634" s="1" t="s">
        <v>79</v>
      </c>
      <c r="AM634" s="1" t="s">
        <v>65</v>
      </c>
      <c r="AN634" s="1" t="s">
        <v>1943</v>
      </c>
      <c r="AO634" s="2">
        <v>44113.0</v>
      </c>
      <c r="AP634" s="2">
        <v>44113.6709143518</v>
      </c>
      <c r="AQ634" s="1" t="s">
        <v>80</v>
      </c>
      <c r="AR634" s="1" t="s">
        <v>421</v>
      </c>
      <c r="AS634" s="1"/>
      <c r="AT634" s="2">
        <v>44269.931099537</v>
      </c>
    </row>
    <row r="635" ht="13.5" customHeight="1">
      <c r="A635" s="1"/>
      <c r="B635" s="1" t="s">
        <v>46</v>
      </c>
      <c r="C635" s="1" t="s">
        <v>47</v>
      </c>
      <c r="D635" s="1"/>
      <c r="E635" s="1" t="s">
        <v>2900</v>
      </c>
      <c r="F635" s="1"/>
      <c r="G635" s="1" t="s">
        <v>49</v>
      </c>
      <c r="H635" s="1" t="s">
        <v>93</v>
      </c>
      <c r="I635" s="1">
        <v>670000.0</v>
      </c>
      <c r="J635" s="1"/>
      <c r="K635" s="1"/>
      <c r="L635" s="1"/>
      <c r="M635" s="1" t="s">
        <v>2901</v>
      </c>
      <c r="N635" s="1" t="s">
        <v>142</v>
      </c>
      <c r="O635" s="1" t="s">
        <v>143</v>
      </c>
      <c r="P635" s="2">
        <v>43804.5320023148</v>
      </c>
      <c r="Q635" s="1" t="s">
        <v>74</v>
      </c>
      <c r="R635" s="1"/>
      <c r="S635" s="1"/>
      <c r="T635" s="1">
        <v>1100080.0</v>
      </c>
      <c r="U635" s="1" t="s">
        <v>1392</v>
      </c>
      <c r="V635" s="1" t="s">
        <v>448</v>
      </c>
      <c r="W635" s="1" t="s">
        <v>177</v>
      </c>
      <c r="X635" s="1"/>
      <c r="Y635" s="1"/>
      <c r="Z635" s="1" t="s">
        <v>147</v>
      </c>
      <c r="AA635" s="1" t="s">
        <v>2902</v>
      </c>
      <c r="AB635" s="1" t="str">
        <f>"***276452**"</f>
        <v>***276452**</v>
      </c>
      <c r="AC635" s="1"/>
      <c r="AD635" s="1" t="s">
        <v>116</v>
      </c>
      <c r="AE635" s="1"/>
      <c r="AF635" s="1">
        <v>-64.056114</v>
      </c>
      <c r="AG635" s="1">
        <v>-12.024722</v>
      </c>
      <c r="AH635" s="1" t="s">
        <v>2903</v>
      </c>
      <c r="AI635" s="1"/>
      <c r="AJ635" s="1" t="s">
        <v>172</v>
      </c>
      <c r="AK635" s="1"/>
      <c r="AL635" s="1"/>
      <c r="AM635" s="1" t="s">
        <v>65</v>
      </c>
      <c r="AN635" s="1" t="s">
        <v>1395</v>
      </c>
      <c r="AO635" s="1"/>
      <c r="AP635" s="2">
        <v>43804.5440277778</v>
      </c>
      <c r="AQ635" s="1"/>
      <c r="AR635" s="1" t="s">
        <v>644</v>
      </c>
      <c r="AS635" s="1"/>
      <c r="AT635" s="2">
        <v>44269.931099537</v>
      </c>
    </row>
    <row r="636" ht="13.5" customHeight="1">
      <c r="A636" s="1"/>
      <c r="B636" s="1" t="s">
        <v>46</v>
      </c>
      <c r="C636" s="1" t="s">
        <v>47</v>
      </c>
      <c r="D636" s="1"/>
      <c r="E636" s="1" t="s">
        <v>2904</v>
      </c>
      <c r="F636" s="1"/>
      <c r="G636" s="1" t="s">
        <v>49</v>
      </c>
      <c r="H636" s="1" t="s">
        <v>50</v>
      </c>
      <c r="I636" s="1">
        <v>71000.0</v>
      </c>
      <c r="J636" s="1"/>
      <c r="K636" s="1" t="s">
        <v>51</v>
      </c>
      <c r="L636" s="1"/>
      <c r="M636" s="1" t="s">
        <v>2905</v>
      </c>
      <c r="N636" s="1" t="s">
        <v>212</v>
      </c>
      <c r="O636" s="1" t="s">
        <v>213</v>
      </c>
      <c r="P636" s="2">
        <v>43804.5131944444</v>
      </c>
      <c r="Q636" s="1" t="s">
        <v>74</v>
      </c>
      <c r="R636" s="1"/>
      <c r="S636" s="1"/>
      <c r="T636" s="1">
        <v>5300108.0</v>
      </c>
      <c r="U636" s="1" t="s">
        <v>1541</v>
      </c>
      <c r="V636" s="1" t="s">
        <v>1542</v>
      </c>
      <c r="W636" s="1" t="s">
        <v>288</v>
      </c>
      <c r="X636" s="1"/>
      <c r="Y636" s="1"/>
      <c r="Z636" s="1" t="s">
        <v>215</v>
      </c>
      <c r="AA636" s="1" t="s">
        <v>2906</v>
      </c>
      <c r="AB636" s="1" t="str">
        <f>"82892282000143"</f>
        <v>82892282000143</v>
      </c>
      <c r="AC636" s="1"/>
      <c r="AD636" s="1" t="s">
        <v>149</v>
      </c>
      <c r="AE636" s="1"/>
      <c r="AF636" s="1">
        <v>-47.861942</v>
      </c>
      <c r="AG636" s="1">
        <v>-15.767222</v>
      </c>
      <c r="AH636" s="1" t="s">
        <v>2450</v>
      </c>
      <c r="AI636" s="1"/>
      <c r="AJ636" s="1" t="s">
        <v>172</v>
      </c>
      <c r="AK636" s="1"/>
      <c r="AL636" s="1"/>
      <c r="AM636" s="1" t="s">
        <v>65</v>
      </c>
      <c r="AN636" s="1" t="s">
        <v>720</v>
      </c>
      <c r="AO636" s="1"/>
      <c r="AP636" s="2">
        <v>43804.5281481482</v>
      </c>
      <c r="AQ636" s="1"/>
      <c r="AR636" s="1" t="s">
        <v>494</v>
      </c>
      <c r="AS636" s="1"/>
      <c r="AT636" s="2">
        <v>44269.931099537</v>
      </c>
    </row>
    <row r="637" ht="13.5" customHeight="1">
      <c r="A637" s="1"/>
      <c r="B637" s="1" t="s">
        <v>46</v>
      </c>
      <c r="C637" s="1" t="s">
        <v>47</v>
      </c>
      <c r="D637" s="1"/>
      <c r="E637" s="1" t="s">
        <v>2907</v>
      </c>
      <c r="F637" s="1"/>
      <c r="G637" s="1" t="s">
        <v>49</v>
      </c>
      <c r="H637" s="1" t="s">
        <v>93</v>
      </c>
      <c r="I637" s="1">
        <v>810000.0</v>
      </c>
      <c r="J637" s="1"/>
      <c r="K637" s="1" t="s">
        <v>140</v>
      </c>
      <c r="L637" s="1"/>
      <c r="M637" s="1" t="s">
        <v>2908</v>
      </c>
      <c r="N637" s="1" t="s">
        <v>142</v>
      </c>
      <c r="O637" s="1" t="s">
        <v>143</v>
      </c>
      <c r="P637" s="2">
        <v>43804.5119560185</v>
      </c>
      <c r="Q637" s="1" t="s">
        <v>74</v>
      </c>
      <c r="R637" s="1"/>
      <c r="S637" s="1"/>
      <c r="T637" s="1">
        <v>1101492.0</v>
      </c>
      <c r="U637" s="1" t="s">
        <v>2181</v>
      </c>
      <c r="V637" s="1" t="s">
        <v>448</v>
      </c>
      <c r="W637" s="1" t="s">
        <v>177</v>
      </c>
      <c r="X637" s="1"/>
      <c r="Y637" s="1"/>
      <c r="Z637" s="1" t="s">
        <v>147</v>
      </c>
      <c r="AA637" s="1" t="s">
        <v>2909</v>
      </c>
      <c r="AB637" s="1" t="str">
        <f>"***441906**"</f>
        <v>***441906**</v>
      </c>
      <c r="AC637" s="1"/>
      <c r="AD637" s="1" t="s">
        <v>116</v>
      </c>
      <c r="AE637" s="1"/>
      <c r="AF637" s="1">
        <v>-63.90889</v>
      </c>
      <c r="AG637" s="1">
        <v>-11.962777</v>
      </c>
      <c r="AH637" s="1" t="s">
        <v>2910</v>
      </c>
      <c r="AI637" s="1"/>
      <c r="AJ637" s="1" t="s">
        <v>172</v>
      </c>
      <c r="AK637" s="1"/>
      <c r="AL637" s="1"/>
      <c r="AM637" s="1" t="s">
        <v>65</v>
      </c>
      <c r="AN637" s="1" t="s">
        <v>1395</v>
      </c>
      <c r="AO637" s="1"/>
      <c r="AP637" s="2">
        <v>43804.5195023148</v>
      </c>
      <c r="AQ637" s="1"/>
      <c r="AR637" s="1" t="s">
        <v>644</v>
      </c>
      <c r="AS637" s="1"/>
      <c r="AT637" s="2">
        <v>44269.931099537</v>
      </c>
    </row>
    <row r="638" ht="13.5" customHeight="1">
      <c r="A638" s="1">
        <v>2043853.0</v>
      </c>
      <c r="B638" s="1" t="s">
        <v>67</v>
      </c>
      <c r="C638" s="1" t="s">
        <v>68</v>
      </c>
      <c r="D638" s="1" t="s">
        <v>46</v>
      </c>
      <c r="E638" s="1" t="s">
        <v>2911</v>
      </c>
      <c r="F638" s="1"/>
      <c r="G638" s="1" t="s">
        <v>70</v>
      </c>
      <c r="H638" s="1" t="s">
        <v>50</v>
      </c>
      <c r="I638" s="1">
        <v>200000.0</v>
      </c>
      <c r="J638" s="1"/>
      <c r="K638" s="1"/>
      <c r="L638" s="1" t="s">
        <v>65</v>
      </c>
      <c r="M638" s="1" t="s">
        <v>2912</v>
      </c>
      <c r="N638" s="1" t="s">
        <v>283</v>
      </c>
      <c r="O638" s="1" t="s">
        <v>1133</v>
      </c>
      <c r="P638" s="2">
        <v>43804.5</v>
      </c>
      <c r="Q638" s="1" t="s">
        <v>74</v>
      </c>
      <c r="R638" s="1"/>
      <c r="S638" s="1"/>
      <c r="T638" s="1">
        <v>3204302.0</v>
      </c>
      <c r="U638" s="1" t="s">
        <v>1380</v>
      </c>
      <c r="V638" s="1" t="s">
        <v>403</v>
      </c>
      <c r="W638" s="1" t="s">
        <v>288</v>
      </c>
      <c r="X638" s="1"/>
      <c r="Y638" s="1" t="str">
        <f>"02001035052201931"</f>
        <v>02001035052201931</v>
      </c>
      <c r="Z638" s="1" t="s">
        <v>128</v>
      </c>
      <c r="AA638" s="1" t="s">
        <v>1537</v>
      </c>
      <c r="AB638" s="1" t="str">
        <f>"33000167000454"</f>
        <v>33000167000454</v>
      </c>
      <c r="AC638" s="1"/>
      <c r="AD638" s="1" t="s">
        <v>116</v>
      </c>
      <c r="AE638" s="1"/>
      <c r="AF638" s="1">
        <v>-40.045833</v>
      </c>
      <c r="AG638" s="1">
        <v>-21.243333</v>
      </c>
      <c r="AH638" s="1" t="s">
        <v>2855</v>
      </c>
      <c r="AI638" s="1"/>
      <c r="AJ638" s="1" t="s">
        <v>172</v>
      </c>
      <c r="AK638" s="1" t="s">
        <v>1564</v>
      </c>
      <c r="AL638" s="1" t="s">
        <v>79</v>
      </c>
      <c r="AM638" s="1" t="s">
        <v>65</v>
      </c>
      <c r="AN638" s="1" t="s">
        <v>720</v>
      </c>
      <c r="AO638" s="2">
        <v>44256.0</v>
      </c>
      <c r="AP638" s="2">
        <v>44256.4376967593</v>
      </c>
      <c r="AQ638" s="1" t="s">
        <v>80</v>
      </c>
      <c r="AR638" s="1" t="s">
        <v>2913</v>
      </c>
      <c r="AS638" s="1" t="s">
        <v>2914</v>
      </c>
      <c r="AT638" s="2">
        <v>44269.931099537</v>
      </c>
    </row>
    <row r="639" ht="13.5" customHeight="1">
      <c r="A639" s="1"/>
      <c r="B639" s="1" t="s">
        <v>46</v>
      </c>
      <c r="C639" s="1" t="s">
        <v>47</v>
      </c>
      <c r="D639" s="1"/>
      <c r="E639" s="1" t="s">
        <v>2915</v>
      </c>
      <c r="F639" s="1"/>
      <c r="G639" s="1" t="s">
        <v>49</v>
      </c>
      <c r="H639" s="1" t="s">
        <v>93</v>
      </c>
      <c r="I639" s="1">
        <v>9000.0</v>
      </c>
      <c r="J639" s="1"/>
      <c r="K639" s="1"/>
      <c r="L639" s="1"/>
      <c r="M639" s="1" t="s">
        <v>2916</v>
      </c>
      <c r="N639" s="1" t="s">
        <v>123</v>
      </c>
      <c r="O639" s="1" t="s">
        <v>73</v>
      </c>
      <c r="P639" s="2">
        <v>43804.4777662037</v>
      </c>
      <c r="Q639" s="1" t="s">
        <v>74</v>
      </c>
      <c r="R639" s="1"/>
      <c r="S639" s="1"/>
      <c r="T639" s="1">
        <v>3550308.0</v>
      </c>
      <c r="U639" s="1" t="s">
        <v>607</v>
      </c>
      <c r="V639" s="1" t="s">
        <v>58</v>
      </c>
      <c r="W639" s="1" t="s">
        <v>59</v>
      </c>
      <c r="X639" s="1"/>
      <c r="Y639" s="1"/>
      <c r="Z639" s="1" t="s">
        <v>76</v>
      </c>
      <c r="AA639" s="1" t="s">
        <v>2917</v>
      </c>
      <c r="AB639" s="1" t="str">
        <f>"19479265000142"</f>
        <v>19479265000142</v>
      </c>
      <c r="AC639" s="1"/>
      <c r="AD639" s="1" t="s">
        <v>149</v>
      </c>
      <c r="AE639" s="1"/>
      <c r="AF639" s="1">
        <v>-46.754448</v>
      </c>
      <c r="AG639" s="1">
        <v>-23.628889</v>
      </c>
      <c r="AH639" s="1" t="s">
        <v>982</v>
      </c>
      <c r="AI639" s="1"/>
      <c r="AJ639" s="1" t="s">
        <v>172</v>
      </c>
      <c r="AK639" s="1"/>
      <c r="AL639" s="1"/>
      <c r="AM639" s="1" t="s">
        <v>65</v>
      </c>
      <c r="AN639" s="1" t="s">
        <v>983</v>
      </c>
      <c r="AO639" s="1"/>
      <c r="AP639" s="2">
        <v>44008.7410416667</v>
      </c>
      <c r="AQ639" s="1"/>
      <c r="AR639" s="1" t="s">
        <v>1328</v>
      </c>
      <c r="AS639" s="1" t="s">
        <v>2918</v>
      </c>
      <c r="AT639" s="2">
        <v>44269.931099537</v>
      </c>
    </row>
    <row r="640" ht="13.5" customHeight="1">
      <c r="A640" s="1"/>
      <c r="B640" s="1" t="s">
        <v>46</v>
      </c>
      <c r="C640" s="1" t="s">
        <v>47</v>
      </c>
      <c r="D640" s="1"/>
      <c r="E640" s="1" t="s">
        <v>2919</v>
      </c>
      <c r="F640" s="1"/>
      <c r="G640" s="1" t="s">
        <v>49</v>
      </c>
      <c r="H640" s="1" t="s">
        <v>93</v>
      </c>
      <c r="I640" s="1">
        <v>12286.02</v>
      </c>
      <c r="J640" s="1"/>
      <c r="K640" s="1"/>
      <c r="L640" s="1"/>
      <c r="M640" s="1" t="s">
        <v>2920</v>
      </c>
      <c r="N640" s="1" t="s">
        <v>142</v>
      </c>
      <c r="O640" s="1" t="s">
        <v>143</v>
      </c>
      <c r="P640" s="2">
        <v>43804.4741087963</v>
      </c>
      <c r="Q640" s="1" t="s">
        <v>373</v>
      </c>
      <c r="R640" s="1"/>
      <c r="S640" s="1"/>
      <c r="T640" s="1">
        <v>2103000.0</v>
      </c>
      <c r="U640" s="1" t="s">
        <v>2921</v>
      </c>
      <c r="V640" s="1" t="s">
        <v>540</v>
      </c>
      <c r="W640" s="1" t="s">
        <v>177</v>
      </c>
      <c r="X640" s="1"/>
      <c r="Y640" s="1"/>
      <c r="Z640" s="1" t="s">
        <v>147</v>
      </c>
      <c r="AA640" s="1" t="s">
        <v>2922</v>
      </c>
      <c r="AB640" s="1" t="str">
        <f>"***845914**"</f>
        <v>***845914**</v>
      </c>
      <c r="AC640" s="1"/>
      <c r="AD640" s="1" t="s">
        <v>149</v>
      </c>
      <c r="AE640" s="1"/>
      <c r="AF640" s="1">
        <v>-43.427223</v>
      </c>
      <c r="AG640" s="1">
        <v>-4.859167</v>
      </c>
      <c r="AH640" s="1" t="s">
        <v>2923</v>
      </c>
      <c r="AI640" s="1"/>
      <c r="AJ640" s="1" t="s">
        <v>537</v>
      </c>
      <c r="AK640" s="1"/>
      <c r="AL640" s="1"/>
      <c r="AM640" s="1" t="s">
        <v>65</v>
      </c>
      <c r="AN640" s="1" t="s">
        <v>152</v>
      </c>
      <c r="AO640" s="1"/>
      <c r="AP640" s="2">
        <v>43804.5061458333</v>
      </c>
      <c r="AQ640" s="1"/>
      <c r="AR640" s="1" t="s">
        <v>280</v>
      </c>
      <c r="AS640" s="1"/>
      <c r="AT640" s="2">
        <v>44269.931099537</v>
      </c>
    </row>
    <row r="641" ht="13.5" customHeight="1">
      <c r="A641" s="1"/>
      <c r="B641" s="1" t="s">
        <v>46</v>
      </c>
      <c r="C641" s="1" t="s">
        <v>47</v>
      </c>
      <c r="D641" s="1"/>
      <c r="E641" s="1" t="s">
        <v>2924</v>
      </c>
      <c r="F641" s="1"/>
      <c r="G641" s="1" t="s">
        <v>49</v>
      </c>
      <c r="H641" s="1" t="s">
        <v>50</v>
      </c>
      <c r="I641" s="1">
        <v>105000.0</v>
      </c>
      <c r="J641" s="1"/>
      <c r="K641" s="1" t="s">
        <v>51</v>
      </c>
      <c r="L641" s="1"/>
      <c r="M641" s="1" t="s">
        <v>2381</v>
      </c>
      <c r="N641" s="1" t="s">
        <v>977</v>
      </c>
      <c r="O641" s="1" t="s">
        <v>978</v>
      </c>
      <c r="P641" s="2">
        <v>43804.4685300926</v>
      </c>
      <c r="Q641" s="1" t="s">
        <v>74</v>
      </c>
      <c r="R641" s="1"/>
      <c r="S641" s="1"/>
      <c r="T641" s="1">
        <v>3550308.0</v>
      </c>
      <c r="U641" s="1" t="s">
        <v>607</v>
      </c>
      <c r="V641" s="1" t="s">
        <v>58</v>
      </c>
      <c r="W641" s="1" t="s">
        <v>59</v>
      </c>
      <c r="X641" s="1"/>
      <c r="Y641" s="1"/>
      <c r="Z641" s="1" t="s">
        <v>980</v>
      </c>
      <c r="AA641" s="1" t="s">
        <v>2917</v>
      </c>
      <c r="AB641" s="1" t="str">
        <f>"19479265000142"</f>
        <v>19479265000142</v>
      </c>
      <c r="AC641" s="1"/>
      <c r="AD641" s="1" t="s">
        <v>149</v>
      </c>
      <c r="AE641" s="1"/>
      <c r="AF641" s="1">
        <v>-46.754448</v>
      </c>
      <c r="AG641" s="1">
        <v>-23.628889</v>
      </c>
      <c r="AH641" s="1" t="s">
        <v>2925</v>
      </c>
      <c r="AI641" s="1"/>
      <c r="AJ641" s="1" t="s">
        <v>172</v>
      </c>
      <c r="AK641" s="1"/>
      <c r="AL641" s="1"/>
      <c r="AM641" s="1" t="s">
        <v>65</v>
      </c>
      <c r="AN641" s="1" t="s">
        <v>983</v>
      </c>
      <c r="AO641" s="1"/>
      <c r="AP641" s="2">
        <v>44008.7411342593</v>
      </c>
      <c r="AQ641" s="1"/>
      <c r="AR641" s="1" t="s">
        <v>984</v>
      </c>
      <c r="AS641" s="1" t="s">
        <v>2383</v>
      </c>
      <c r="AT641" s="2">
        <v>44269.931099537</v>
      </c>
    </row>
    <row r="642" ht="13.5" customHeight="1">
      <c r="A642" s="1">
        <v>2037675.0</v>
      </c>
      <c r="B642" s="1" t="s">
        <v>67</v>
      </c>
      <c r="C642" s="1" t="s">
        <v>68</v>
      </c>
      <c r="D642" s="1" t="s">
        <v>46</v>
      </c>
      <c r="E642" s="1" t="s">
        <v>2926</v>
      </c>
      <c r="F642" s="1"/>
      <c r="G642" s="1" t="s">
        <v>70</v>
      </c>
      <c r="H642" s="1" t="s">
        <v>93</v>
      </c>
      <c r="I642" s="1">
        <v>5500.0</v>
      </c>
      <c r="J642" s="1"/>
      <c r="K642" s="1"/>
      <c r="L642" s="1" t="s">
        <v>406</v>
      </c>
      <c r="M642" s="1" t="s">
        <v>2927</v>
      </c>
      <c r="N642" s="1" t="s">
        <v>95</v>
      </c>
      <c r="O642" s="1" t="s">
        <v>96</v>
      </c>
      <c r="P642" s="2">
        <v>43804.4583333333</v>
      </c>
      <c r="Q642" s="1" t="s">
        <v>373</v>
      </c>
      <c r="R642" s="3">
        <v>43804.0</v>
      </c>
      <c r="S642" s="1"/>
      <c r="T642" s="1">
        <v>3204401.0</v>
      </c>
      <c r="U642" s="1" t="s">
        <v>1596</v>
      </c>
      <c r="V642" s="1" t="s">
        <v>403</v>
      </c>
      <c r="W642" s="1" t="s">
        <v>59</v>
      </c>
      <c r="X642" s="1"/>
      <c r="Y642" s="1" t="str">
        <f>"02009001351202035"</f>
        <v>02009001351202035</v>
      </c>
      <c r="Z642" s="1" t="s">
        <v>98</v>
      </c>
      <c r="AA642" s="1" t="s">
        <v>2928</v>
      </c>
      <c r="AB642" s="1" t="str">
        <f>"***205117**"</f>
        <v>***205117**</v>
      </c>
      <c r="AC642" s="1"/>
      <c r="AD642" s="1"/>
      <c r="AE642" s="1"/>
      <c r="AF642" s="1">
        <v>-40.935558</v>
      </c>
      <c r="AG642" s="1">
        <v>-20.863335</v>
      </c>
      <c r="AH642" s="1" t="s">
        <v>2929</v>
      </c>
      <c r="AI642" s="1"/>
      <c r="AJ642" s="1" t="s">
        <v>406</v>
      </c>
      <c r="AK642" s="1"/>
      <c r="AL642" s="1" t="s">
        <v>79</v>
      </c>
      <c r="AM642" s="1" t="s">
        <v>65</v>
      </c>
      <c r="AN642" s="1" t="s">
        <v>1599</v>
      </c>
      <c r="AO642" s="2">
        <v>44006.0</v>
      </c>
      <c r="AP642" s="2">
        <v>44006.405787037</v>
      </c>
      <c r="AQ642" s="1" t="s">
        <v>80</v>
      </c>
      <c r="AR642" s="1" t="s">
        <v>577</v>
      </c>
      <c r="AS642" s="1" t="s">
        <v>2930</v>
      </c>
      <c r="AT642" s="2">
        <v>44269.931099537</v>
      </c>
    </row>
    <row r="643" ht="13.5" customHeight="1">
      <c r="A643" s="1"/>
      <c r="B643" s="1" t="s">
        <v>46</v>
      </c>
      <c r="C643" s="1" t="s">
        <v>47</v>
      </c>
      <c r="D643" s="1"/>
      <c r="E643" s="1" t="s">
        <v>2931</v>
      </c>
      <c r="F643" s="1"/>
      <c r="G643" s="1" t="s">
        <v>49</v>
      </c>
      <c r="H643" s="1" t="s">
        <v>50</v>
      </c>
      <c r="I643" s="1">
        <v>45000.0</v>
      </c>
      <c r="J643" s="1"/>
      <c r="K643" s="1" t="s">
        <v>51</v>
      </c>
      <c r="L643" s="1"/>
      <c r="M643" s="1" t="s">
        <v>2932</v>
      </c>
      <c r="N643" s="1" t="s">
        <v>977</v>
      </c>
      <c r="O643" s="1" t="s">
        <v>978</v>
      </c>
      <c r="P643" s="2">
        <v>43804.4444212963</v>
      </c>
      <c r="Q643" s="1" t="s">
        <v>74</v>
      </c>
      <c r="R643" s="1"/>
      <c r="S643" s="1"/>
      <c r="T643" s="1">
        <v>3106200.0</v>
      </c>
      <c r="U643" s="1" t="s">
        <v>2933</v>
      </c>
      <c r="V643" s="1" t="s">
        <v>126</v>
      </c>
      <c r="W643" s="1" t="s">
        <v>59</v>
      </c>
      <c r="X643" s="1"/>
      <c r="Y643" s="1"/>
      <c r="Z643" s="1" t="s">
        <v>980</v>
      </c>
      <c r="AA643" s="1" t="s">
        <v>2934</v>
      </c>
      <c r="AB643" s="1" t="str">
        <f>"60394665000159"</f>
        <v>60394665000159</v>
      </c>
      <c r="AC643" s="1"/>
      <c r="AD643" s="1" t="s">
        <v>149</v>
      </c>
      <c r="AE643" s="1"/>
      <c r="AF643" s="1">
        <v>-44.049168</v>
      </c>
      <c r="AG643" s="1">
        <v>-19.931389</v>
      </c>
      <c r="AH643" s="1" t="s">
        <v>982</v>
      </c>
      <c r="AI643" s="1"/>
      <c r="AJ643" s="1" t="s">
        <v>172</v>
      </c>
      <c r="AK643" s="1"/>
      <c r="AL643" s="1"/>
      <c r="AM643" s="1" t="s">
        <v>65</v>
      </c>
      <c r="AN643" s="1" t="s">
        <v>983</v>
      </c>
      <c r="AO643" s="1"/>
      <c r="AP643" s="2">
        <v>44008.7412384259</v>
      </c>
      <c r="AQ643" s="1"/>
      <c r="AR643" s="1" t="s">
        <v>984</v>
      </c>
      <c r="AS643" s="1" t="s">
        <v>2935</v>
      </c>
      <c r="AT643" s="2">
        <v>44269.931099537</v>
      </c>
    </row>
    <row r="644" ht="13.5" customHeight="1">
      <c r="A644" s="1">
        <v>2038780.0</v>
      </c>
      <c r="B644" s="1" t="s">
        <v>67</v>
      </c>
      <c r="C644" s="1" t="s">
        <v>68</v>
      </c>
      <c r="D644" s="1" t="s">
        <v>46</v>
      </c>
      <c r="E644" s="1" t="s">
        <v>2936</v>
      </c>
      <c r="F644" s="1"/>
      <c r="G644" s="1" t="s">
        <v>70</v>
      </c>
      <c r="H644" s="1" t="s">
        <v>93</v>
      </c>
      <c r="I644" s="1">
        <v>13000.0</v>
      </c>
      <c r="J644" s="1"/>
      <c r="K644" s="1"/>
      <c r="L644" s="1" t="s">
        <v>587</v>
      </c>
      <c r="M644" s="1" t="s">
        <v>2937</v>
      </c>
      <c r="N644" s="1" t="s">
        <v>95</v>
      </c>
      <c r="O644" s="1" t="s">
        <v>96</v>
      </c>
      <c r="P644" s="2">
        <v>43804.4166666667</v>
      </c>
      <c r="Q644" s="1" t="s">
        <v>74</v>
      </c>
      <c r="R644" s="3">
        <v>43824.0</v>
      </c>
      <c r="S644" s="1"/>
      <c r="T644" s="1">
        <v>3116100.0</v>
      </c>
      <c r="U644" s="1" t="s">
        <v>2938</v>
      </c>
      <c r="V644" s="1" t="s">
        <v>126</v>
      </c>
      <c r="W644" s="1" t="s">
        <v>127</v>
      </c>
      <c r="X644" s="1"/>
      <c r="Y644" s="1" t="str">
        <f>"02566000033202031"</f>
        <v>02566000033202031</v>
      </c>
      <c r="Z644" s="1" t="s">
        <v>98</v>
      </c>
      <c r="AA644" s="1" t="s">
        <v>2939</v>
      </c>
      <c r="AB644" s="1" t="str">
        <f>"***974596**"</f>
        <v>***974596**</v>
      </c>
      <c r="AC644" s="1"/>
      <c r="AD644" s="1"/>
      <c r="AE644" s="1"/>
      <c r="AF644" s="1">
        <v>-42.650558</v>
      </c>
      <c r="AG644" s="1">
        <v>-17.053888</v>
      </c>
      <c r="AH644" s="1" t="s">
        <v>2940</v>
      </c>
      <c r="AI644" s="1"/>
      <c r="AJ644" s="1" t="s">
        <v>587</v>
      </c>
      <c r="AK644" s="1"/>
      <c r="AL644" s="1" t="s">
        <v>79</v>
      </c>
      <c r="AM644" s="1" t="s">
        <v>65</v>
      </c>
      <c r="AN644" s="1" t="s">
        <v>592</v>
      </c>
      <c r="AO644" s="2">
        <v>44046.0</v>
      </c>
      <c r="AP644" s="2">
        <v>44046.6117708333</v>
      </c>
      <c r="AQ644" s="1" t="s">
        <v>80</v>
      </c>
      <c r="AR644" s="1" t="s">
        <v>2941</v>
      </c>
      <c r="AS644" s="1"/>
      <c r="AT644" s="2">
        <v>44269.931099537</v>
      </c>
    </row>
    <row r="645" ht="13.5" customHeight="1">
      <c r="A645" s="1"/>
      <c r="B645" s="1" t="s">
        <v>46</v>
      </c>
      <c r="C645" s="1" t="s">
        <v>47</v>
      </c>
      <c r="D645" s="1"/>
      <c r="E645" s="1" t="s">
        <v>2942</v>
      </c>
      <c r="F645" s="1"/>
      <c r="G645" s="1" t="s">
        <v>49</v>
      </c>
      <c r="H645" s="1" t="s">
        <v>93</v>
      </c>
      <c r="I645" s="1">
        <v>10000.0</v>
      </c>
      <c r="J645" s="1"/>
      <c r="K645" s="1" t="s">
        <v>140</v>
      </c>
      <c r="L645" s="1"/>
      <c r="M645" s="1" t="s">
        <v>2943</v>
      </c>
      <c r="N645" s="1" t="s">
        <v>212</v>
      </c>
      <c r="O645" s="1" t="s">
        <v>213</v>
      </c>
      <c r="P645" s="2">
        <v>43804.3344791667</v>
      </c>
      <c r="Q645" s="1" t="s">
        <v>74</v>
      </c>
      <c r="R645" s="1"/>
      <c r="S645" s="1"/>
      <c r="T645" s="1">
        <v>2306553.0</v>
      </c>
      <c r="U645" s="1" t="s">
        <v>2944</v>
      </c>
      <c r="V645" s="1" t="s">
        <v>112</v>
      </c>
      <c r="W645" s="1" t="s">
        <v>288</v>
      </c>
      <c r="X645" s="1"/>
      <c r="Y645" s="1"/>
      <c r="Z645" s="1" t="s">
        <v>215</v>
      </c>
      <c r="AA645" s="1" t="s">
        <v>2945</v>
      </c>
      <c r="AB645" s="1" t="str">
        <f>"20619192000126"</f>
        <v>20619192000126</v>
      </c>
      <c r="AC645" s="1"/>
      <c r="AD645" s="1" t="s">
        <v>62</v>
      </c>
      <c r="AE645" s="1"/>
      <c r="AF645" s="1">
        <v>-39.794998</v>
      </c>
      <c r="AG645" s="1">
        <v>-2.953056</v>
      </c>
      <c r="AH645" s="1" t="s">
        <v>2946</v>
      </c>
      <c r="AI645" s="1"/>
      <c r="AJ645" s="1" t="s">
        <v>172</v>
      </c>
      <c r="AK645" s="1"/>
      <c r="AL645" s="1"/>
      <c r="AM645" s="1" t="s">
        <v>65</v>
      </c>
      <c r="AN645" s="1" t="s">
        <v>2722</v>
      </c>
      <c r="AO645" s="1"/>
      <c r="AP645" s="2">
        <v>43937.7489699074</v>
      </c>
      <c r="AQ645" s="1"/>
      <c r="AR645" s="1" t="s">
        <v>229</v>
      </c>
      <c r="AS645" s="1" t="s">
        <v>469</v>
      </c>
      <c r="AT645" s="2">
        <v>44269.931099537</v>
      </c>
    </row>
    <row r="646" ht="13.5" customHeight="1">
      <c r="A646" s="1">
        <v>2036147.0</v>
      </c>
      <c r="B646" s="1" t="s">
        <v>67</v>
      </c>
      <c r="C646" s="1" t="s">
        <v>68</v>
      </c>
      <c r="D646" s="1" t="s">
        <v>46</v>
      </c>
      <c r="E646" s="1" t="s">
        <v>2947</v>
      </c>
      <c r="F646" s="1"/>
      <c r="G646" s="1" t="s">
        <v>70</v>
      </c>
      <c r="H646" s="1" t="s">
        <v>50</v>
      </c>
      <c r="I646" s="1">
        <v>10500.0</v>
      </c>
      <c r="J646" s="1"/>
      <c r="K646" s="1"/>
      <c r="L646" s="1" t="s">
        <v>172</v>
      </c>
      <c r="M646" s="1" t="s">
        <v>2948</v>
      </c>
      <c r="N646" s="1" t="s">
        <v>53</v>
      </c>
      <c r="O646" s="1" t="s">
        <v>54</v>
      </c>
      <c r="P646" s="2">
        <v>43804.3333333333</v>
      </c>
      <c r="Q646" s="1" t="s">
        <v>74</v>
      </c>
      <c r="R646" s="1"/>
      <c r="S646" s="1"/>
      <c r="T646" s="1">
        <v>2205706.0</v>
      </c>
      <c r="U646" s="1" t="s">
        <v>1351</v>
      </c>
      <c r="V646" s="1" t="s">
        <v>895</v>
      </c>
      <c r="W646" s="1" t="s">
        <v>288</v>
      </c>
      <c r="X646" s="1"/>
      <c r="Y646" s="1" t="str">
        <f>"02001010157202011"</f>
        <v>02001010157202011</v>
      </c>
      <c r="Z646" s="1" t="s">
        <v>60</v>
      </c>
      <c r="AA646" s="1" t="s">
        <v>2949</v>
      </c>
      <c r="AB646" s="1" t="str">
        <f>"12058478000151"</f>
        <v>12058478000151</v>
      </c>
      <c r="AC646" s="1"/>
      <c r="AD646" s="1"/>
      <c r="AE646" s="1"/>
      <c r="AF646" s="1">
        <v>-41.665836</v>
      </c>
      <c r="AG646" s="1">
        <v>-2.877222</v>
      </c>
      <c r="AH646" s="1" t="s">
        <v>2950</v>
      </c>
      <c r="AI646" s="1"/>
      <c r="AJ646" s="1" t="s">
        <v>172</v>
      </c>
      <c r="AK646" s="1"/>
      <c r="AL646" s="1" t="s">
        <v>79</v>
      </c>
      <c r="AM646" s="1" t="s">
        <v>65</v>
      </c>
      <c r="AN646" s="1" t="s">
        <v>2722</v>
      </c>
      <c r="AO646" s="2">
        <v>43937.0</v>
      </c>
      <c r="AP646" s="2">
        <v>43937.7468981482</v>
      </c>
      <c r="AQ646" s="1" t="s">
        <v>80</v>
      </c>
      <c r="AR646" s="1" t="s">
        <v>507</v>
      </c>
      <c r="AS646" s="1" t="s">
        <v>2723</v>
      </c>
      <c r="AT646" s="2">
        <v>44269.931099537</v>
      </c>
    </row>
    <row r="647" ht="13.5" customHeight="1">
      <c r="A647" s="1">
        <v>2037448.0</v>
      </c>
      <c r="B647" s="1" t="s">
        <v>67</v>
      </c>
      <c r="C647" s="1" t="s">
        <v>68</v>
      </c>
      <c r="D647" s="1" t="s">
        <v>46</v>
      </c>
      <c r="E647" s="1" t="s">
        <v>2951</v>
      </c>
      <c r="F647" s="1"/>
      <c r="G647" s="1" t="s">
        <v>70</v>
      </c>
      <c r="H647" s="1" t="s">
        <v>50</v>
      </c>
      <c r="I647" s="1">
        <v>45000.0</v>
      </c>
      <c r="J647" s="1"/>
      <c r="K647" s="1"/>
      <c r="L647" s="1" t="s">
        <v>172</v>
      </c>
      <c r="M647" s="1" t="s">
        <v>2381</v>
      </c>
      <c r="N647" s="1" t="s">
        <v>283</v>
      </c>
      <c r="O647" s="1" t="s">
        <v>978</v>
      </c>
      <c r="P647" s="2">
        <v>43804.2916666667</v>
      </c>
      <c r="Q647" s="1" t="s">
        <v>74</v>
      </c>
      <c r="R647" s="1"/>
      <c r="S647" s="1"/>
      <c r="T647" s="1">
        <v>3548708.0</v>
      </c>
      <c r="U647" s="1" t="s">
        <v>993</v>
      </c>
      <c r="V647" s="1" t="s">
        <v>58</v>
      </c>
      <c r="W647" s="1" t="s">
        <v>59</v>
      </c>
      <c r="X647" s="1"/>
      <c r="Y647" s="1" t="str">
        <f>"02001035829201967"</f>
        <v>02001035829201967</v>
      </c>
      <c r="Z647" s="1" t="s">
        <v>980</v>
      </c>
      <c r="AA647" s="1" t="s">
        <v>2952</v>
      </c>
      <c r="AB647" s="1" t="str">
        <f>"05777410000167"</f>
        <v>05777410000167</v>
      </c>
      <c r="AC647" s="1"/>
      <c r="AD647" s="1"/>
      <c r="AE647" s="1"/>
      <c r="AF647" s="1">
        <v>-46.636665</v>
      </c>
      <c r="AG647" s="1">
        <v>-23.7425</v>
      </c>
      <c r="AH647" s="1" t="s">
        <v>982</v>
      </c>
      <c r="AI647" s="1"/>
      <c r="AJ647" s="1" t="s">
        <v>172</v>
      </c>
      <c r="AK647" s="1"/>
      <c r="AL647" s="1" t="s">
        <v>79</v>
      </c>
      <c r="AM647" s="1" t="s">
        <v>65</v>
      </c>
      <c r="AN647" s="1" t="s">
        <v>983</v>
      </c>
      <c r="AO647" s="2">
        <v>43998.0</v>
      </c>
      <c r="AP647" s="2">
        <v>43998.4106481482</v>
      </c>
      <c r="AQ647" s="1" t="s">
        <v>80</v>
      </c>
      <c r="AR647" s="1" t="s">
        <v>1050</v>
      </c>
      <c r="AS647" s="1" t="s">
        <v>2953</v>
      </c>
      <c r="AT647" s="2">
        <v>44269.931099537</v>
      </c>
    </row>
    <row r="648" ht="13.5" customHeight="1">
      <c r="A648" s="1">
        <v>2037469.0</v>
      </c>
      <c r="B648" s="1" t="s">
        <v>67</v>
      </c>
      <c r="C648" s="1" t="s">
        <v>68</v>
      </c>
      <c r="D648" s="1" t="s">
        <v>46</v>
      </c>
      <c r="E648" s="1" t="s">
        <v>2954</v>
      </c>
      <c r="F648" s="1"/>
      <c r="G648" s="1" t="s">
        <v>70</v>
      </c>
      <c r="H648" s="1" t="s">
        <v>93</v>
      </c>
      <c r="I648" s="1">
        <v>45000.0</v>
      </c>
      <c r="J648" s="1"/>
      <c r="K648" s="1"/>
      <c r="L648" s="1" t="s">
        <v>172</v>
      </c>
      <c r="M648" s="1" t="s">
        <v>2381</v>
      </c>
      <c r="N648" s="1" t="s">
        <v>283</v>
      </c>
      <c r="O648" s="1" t="s">
        <v>1133</v>
      </c>
      <c r="P648" s="2">
        <v>43804.2916666667</v>
      </c>
      <c r="Q648" s="1" t="s">
        <v>74</v>
      </c>
      <c r="R648" s="1"/>
      <c r="S648" s="1"/>
      <c r="T648" s="1">
        <v>3548708.0</v>
      </c>
      <c r="U648" s="1" t="s">
        <v>993</v>
      </c>
      <c r="V648" s="1" t="s">
        <v>58</v>
      </c>
      <c r="W648" s="1" t="s">
        <v>59</v>
      </c>
      <c r="X648" s="1"/>
      <c r="Y648" s="1" t="str">
        <f>"02001036467201921"</f>
        <v>02001036467201921</v>
      </c>
      <c r="Z648" s="1" t="s">
        <v>128</v>
      </c>
      <c r="AA648" s="1" t="s">
        <v>2955</v>
      </c>
      <c r="AB648" s="1" t="str">
        <f>"08778560000183"</f>
        <v>08778560000183</v>
      </c>
      <c r="AC648" s="1"/>
      <c r="AD648" s="1"/>
      <c r="AE648" s="1"/>
      <c r="AF648" s="1">
        <v>-46.636665</v>
      </c>
      <c r="AG648" s="1">
        <v>-23.7425</v>
      </c>
      <c r="AH648" s="1" t="s">
        <v>982</v>
      </c>
      <c r="AI648" s="1"/>
      <c r="AJ648" s="1" t="s">
        <v>172</v>
      </c>
      <c r="AK648" s="1"/>
      <c r="AL648" s="1" t="s">
        <v>79</v>
      </c>
      <c r="AM648" s="1" t="s">
        <v>65</v>
      </c>
      <c r="AN648" s="1" t="s">
        <v>983</v>
      </c>
      <c r="AO648" s="2">
        <v>43998.0</v>
      </c>
      <c r="AP648" s="2">
        <v>43998.5347916667</v>
      </c>
      <c r="AQ648" s="1" t="s">
        <v>80</v>
      </c>
      <c r="AR648" s="1" t="s">
        <v>1050</v>
      </c>
      <c r="AS648" s="1" t="s">
        <v>2383</v>
      </c>
      <c r="AT648" s="2">
        <v>44269.931099537</v>
      </c>
    </row>
    <row r="649" ht="13.5" customHeight="1">
      <c r="A649" s="1"/>
      <c r="B649" s="1" t="s">
        <v>46</v>
      </c>
      <c r="C649" s="1" t="s">
        <v>47</v>
      </c>
      <c r="D649" s="1"/>
      <c r="E649" s="1" t="s">
        <v>2956</v>
      </c>
      <c r="F649" s="1"/>
      <c r="G649" s="1" t="s">
        <v>49</v>
      </c>
      <c r="H649" s="1" t="s">
        <v>93</v>
      </c>
      <c r="I649" s="1">
        <v>10500.0</v>
      </c>
      <c r="J649" s="1"/>
      <c r="K649" s="1" t="s">
        <v>51</v>
      </c>
      <c r="L649" s="1"/>
      <c r="M649" s="1" t="s">
        <v>2957</v>
      </c>
      <c r="N649" s="1" t="s">
        <v>53</v>
      </c>
      <c r="O649" s="1" t="s">
        <v>54</v>
      </c>
      <c r="P649" s="2">
        <v>43804.2789930556</v>
      </c>
      <c r="Q649" s="1" t="s">
        <v>74</v>
      </c>
      <c r="R649" s="1"/>
      <c r="S649" s="1"/>
      <c r="T649" s="1">
        <v>2205706.0</v>
      </c>
      <c r="U649" s="1" t="s">
        <v>1351</v>
      </c>
      <c r="V649" s="1" t="s">
        <v>895</v>
      </c>
      <c r="W649" s="1" t="s">
        <v>288</v>
      </c>
      <c r="X649" s="1"/>
      <c r="Y649" s="1"/>
      <c r="Z649" s="1" t="s">
        <v>60</v>
      </c>
      <c r="AA649" s="1" t="s">
        <v>2958</v>
      </c>
      <c r="AB649" s="1" t="str">
        <f>"***132103**"</f>
        <v>***132103**</v>
      </c>
      <c r="AC649" s="1"/>
      <c r="AD649" s="1" t="s">
        <v>62</v>
      </c>
      <c r="AE649" s="1"/>
      <c r="AF649" s="1">
        <v>-41.665558</v>
      </c>
      <c r="AG649" s="1">
        <v>-2.877222</v>
      </c>
      <c r="AH649" s="1" t="s">
        <v>2959</v>
      </c>
      <c r="AI649" s="1"/>
      <c r="AJ649" s="1" t="s">
        <v>172</v>
      </c>
      <c r="AK649" s="1"/>
      <c r="AL649" s="1"/>
      <c r="AM649" s="1" t="s">
        <v>65</v>
      </c>
      <c r="AN649" s="1" t="s">
        <v>2722</v>
      </c>
      <c r="AO649" s="1"/>
      <c r="AP649" s="2">
        <v>43937.7491087963</v>
      </c>
      <c r="AQ649" s="1"/>
      <c r="AR649" s="1" t="s">
        <v>229</v>
      </c>
      <c r="AS649" s="1" t="s">
        <v>2723</v>
      </c>
      <c r="AT649" s="2">
        <v>44269.931099537</v>
      </c>
    </row>
    <row r="650" ht="13.5" customHeight="1">
      <c r="A650" s="1">
        <v>2036146.0</v>
      </c>
      <c r="B650" s="1" t="s">
        <v>67</v>
      </c>
      <c r="C650" s="1" t="s">
        <v>89</v>
      </c>
      <c r="D650" s="1" t="s">
        <v>67</v>
      </c>
      <c r="E650" s="1" t="s">
        <v>2960</v>
      </c>
      <c r="F650" s="1"/>
      <c r="G650" s="1" t="s">
        <v>70</v>
      </c>
      <c r="H650" s="1" t="s">
        <v>50</v>
      </c>
      <c r="I650" s="1">
        <v>10500.0</v>
      </c>
      <c r="J650" s="1"/>
      <c r="K650" s="1"/>
      <c r="L650" s="1" t="s">
        <v>172</v>
      </c>
      <c r="M650" s="1" t="s">
        <v>2961</v>
      </c>
      <c r="N650" s="1" t="s">
        <v>53</v>
      </c>
      <c r="O650" s="1" t="s">
        <v>54</v>
      </c>
      <c r="P650" s="2">
        <v>43803.9583333333</v>
      </c>
      <c r="Q650" s="1" t="s">
        <v>74</v>
      </c>
      <c r="R650" s="1"/>
      <c r="S650" s="1"/>
      <c r="T650" s="1">
        <v>2205706.0</v>
      </c>
      <c r="U650" s="1" t="s">
        <v>1351</v>
      </c>
      <c r="V650" s="1" t="s">
        <v>895</v>
      </c>
      <c r="W650" s="1" t="s">
        <v>288</v>
      </c>
      <c r="X650" s="1"/>
      <c r="Y650" s="1" t="str">
        <f>"02001010156202076"</f>
        <v>02001010156202076</v>
      </c>
      <c r="Z650" s="1" t="s">
        <v>60</v>
      </c>
      <c r="AA650" s="1" t="s">
        <v>2949</v>
      </c>
      <c r="AB650" s="1" t="str">
        <f>"12058478000151"</f>
        <v>12058478000151</v>
      </c>
      <c r="AC650" s="1"/>
      <c r="AD650" s="1"/>
      <c r="AE650" s="1"/>
      <c r="AF650" s="1">
        <v>-41.665836</v>
      </c>
      <c r="AG650" s="1">
        <v>-2.877222</v>
      </c>
      <c r="AH650" s="1" t="s">
        <v>2959</v>
      </c>
      <c r="AI650" s="1"/>
      <c r="AJ650" s="1" t="s">
        <v>172</v>
      </c>
      <c r="AK650" s="1"/>
      <c r="AL650" s="1" t="s">
        <v>79</v>
      </c>
      <c r="AM650" s="1" t="s">
        <v>65</v>
      </c>
      <c r="AN650" s="1" t="s">
        <v>2722</v>
      </c>
      <c r="AO650" s="2">
        <v>43937.0</v>
      </c>
      <c r="AP650" s="2">
        <v>44006.4933449074</v>
      </c>
      <c r="AQ650" s="1" t="s">
        <v>89</v>
      </c>
      <c r="AR650" s="1" t="s">
        <v>507</v>
      </c>
      <c r="AS650" s="1" t="s">
        <v>2962</v>
      </c>
      <c r="AT650" s="2">
        <v>44269.931099537</v>
      </c>
    </row>
    <row r="651" ht="13.5" customHeight="1">
      <c r="A651" s="1"/>
      <c r="B651" s="1" t="s">
        <v>46</v>
      </c>
      <c r="C651" s="1" t="s">
        <v>47</v>
      </c>
      <c r="D651" s="1"/>
      <c r="E651" s="1" t="s">
        <v>2963</v>
      </c>
      <c r="F651" s="1"/>
      <c r="G651" s="1" t="s">
        <v>49</v>
      </c>
      <c r="H651" s="1" t="s">
        <v>50</v>
      </c>
      <c r="I651" s="1">
        <v>20000.0</v>
      </c>
      <c r="J651" s="1"/>
      <c r="K651" s="1" t="s">
        <v>140</v>
      </c>
      <c r="L651" s="1"/>
      <c r="M651" s="1" t="s">
        <v>2964</v>
      </c>
      <c r="N651" s="1" t="s">
        <v>142</v>
      </c>
      <c r="O651" s="1" t="s">
        <v>143</v>
      </c>
      <c r="P651" s="2">
        <v>43803.9112384259</v>
      </c>
      <c r="Q651" s="1" t="s">
        <v>74</v>
      </c>
      <c r="R651" s="1"/>
      <c r="S651" s="1"/>
      <c r="T651" s="1">
        <v>1101492.0</v>
      </c>
      <c r="U651" s="1" t="s">
        <v>2181</v>
      </c>
      <c r="V651" s="1" t="s">
        <v>448</v>
      </c>
      <c r="W651" s="1" t="s">
        <v>177</v>
      </c>
      <c r="X651" s="1"/>
      <c r="Y651" s="1"/>
      <c r="Z651" s="1" t="s">
        <v>147</v>
      </c>
      <c r="AA651" s="1" t="s">
        <v>2965</v>
      </c>
      <c r="AB651" s="1" t="str">
        <f>"***838432**"</f>
        <v>***838432**</v>
      </c>
      <c r="AC651" s="1"/>
      <c r="AD651" s="1" t="s">
        <v>116</v>
      </c>
      <c r="AE651" s="1"/>
      <c r="AF651" s="1">
        <v>-63.791111</v>
      </c>
      <c r="AG651" s="1">
        <v>-12.268055</v>
      </c>
      <c r="AH651" s="1" t="s">
        <v>2966</v>
      </c>
      <c r="AI651" s="1"/>
      <c r="AJ651" s="1" t="s">
        <v>172</v>
      </c>
      <c r="AK651" s="1"/>
      <c r="AL651" s="1"/>
      <c r="AM651" s="1" t="s">
        <v>65</v>
      </c>
      <c r="AN651" s="1" t="s">
        <v>1395</v>
      </c>
      <c r="AO651" s="1"/>
      <c r="AP651" s="2">
        <v>44057.5871064815</v>
      </c>
      <c r="AQ651" s="1"/>
      <c r="AR651" s="1" t="s">
        <v>793</v>
      </c>
      <c r="AS651" s="1"/>
      <c r="AT651" s="2">
        <v>44269.931099537</v>
      </c>
    </row>
    <row r="652" ht="13.5" customHeight="1">
      <c r="A652" s="1"/>
      <c r="B652" s="1" t="s">
        <v>46</v>
      </c>
      <c r="C652" s="1" t="s">
        <v>47</v>
      </c>
      <c r="D652" s="1"/>
      <c r="E652" s="1" t="s">
        <v>2967</v>
      </c>
      <c r="F652" s="1"/>
      <c r="G652" s="1" t="s">
        <v>49</v>
      </c>
      <c r="H652" s="1" t="s">
        <v>93</v>
      </c>
      <c r="I652" s="1">
        <v>20000.0</v>
      </c>
      <c r="J652" s="1"/>
      <c r="K652" s="1" t="s">
        <v>51</v>
      </c>
      <c r="L652" s="1"/>
      <c r="M652" s="1" t="s">
        <v>2968</v>
      </c>
      <c r="N652" s="1" t="s">
        <v>123</v>
      </c>
      <c r="O652" s="1" t="s">
        <v>73</v>
      </c>
      <c r="P652" s="2">
        <v>43803.904224537</v>
      </c>
      <c r="Q652" s="1" t="s">
        <v>74</v>
      </c>
      <c r="R652" s="1"/>
      <c r="S652" s="1"/>
      <c r="T652" s="1">
        <v>1101492.0</v>
      </c>
      <c r="U652" s="1" t="s">
        <v>2181</v>
      </c>
      <c r="V652" s="1" t="s">
        <v>448</v>
      </c>
      <c r="W652" s="1" t="s">
        <v>177</v>
      </c>
      <c r="X652" s="1"/>
      <c r="Y652" s="1"/>
      <c r="Z652" s="1" t="s">
        <v>76</v>
      </c>
      <c r="AA652" s="1" t="s">
        <v>2969</v>
      </c>
      <c r="AB652" s="1" t="str">
        <f>"***047272**"</f>
        <v>***047272**</v>
      </c>
      <c r="AC652" s="1"/>
      <c r="AD652" s="1" t="s">
        <v>149</v>
      </c>
      <c r="AE652" s="1"/>
      <c r="AF652" s="1">
        <v>-63.757225</v>
      </c>
      <c r="AG652" s="1">
        <v>-12.535833</v>
      </c>
      <c r="AH652" s="1" t="s">
        <v>2970</v>
      </c>
      <c r="AI652" s="1"/>
      <c r="AJ652" s="1" t="s">
        <v>172</v>
      </c>
      <c r="AK652" s="1"/>
      <c r="AL652" s="1"/>
      <c r="AM652" s="1" t="s">
        <v>65</v>
      </c>
      <c r="AN652" s="1" t="s">
        <v>1395</v>
      </c>
      <c r="AO652" s="1"/>
      <c r="AP652" s="2">
        <v>43803.9071064815</v>
      </c>
      <c r="AQ652" s="1"/>
      <c r="AR652" s="1" t="s">
        <v>793</v>
      </c>
      <c r="AS652" s="1"/>
      <c r="AT652" s="2">
        <v>44269.931099537</v>
      </c>
    </row>
    <row r="653" ht="13.5" customHeight="1">
      <c r="A653" s="1"/>
      <c r="B653" s="1" t="s">
        <v>46</v>
      </c>
      <c r="C653" s="1" t="s">
        <v>47</v>
      </c>
      <c r="D653" s="1"/>
      <c r="E653" s="1" t="s">
        <v>2971</v>
      </c>
      <c r="F653" s="1"/>
      <c r="G653" s="1" t="s">
        <v>49</v>
      </c>
      <c r="H653" s="1" t="s">
        <v>93</v>
      </c>
      <c r="I653" s="1">
        <v>20000.0</v>
      </c>
      <c r="J653" s="1"/>
      <c r="K653" s="1" t="s">
        <v>51</v>
      </c>
      <c r="L653" s="1"/>
      <c r="M653" s="1" t="s">
        <v>2972</v>
      </c>
      <c r="N653" s="1" t="s">
        <v>142</v>
      </c>
      <c r="O653" s="1" t="s">
        <v>143</v>
      </c>
      <c r="P653" s="2">
        <v>43803.8485185185</v>
      </c>
      <c r="Q653" s="1" t="s">
        <v>74</v>
      </c>
      <c r="R653" s="3">
        <v>43806.0</v>
      </c>
      <c r="S653" s="1"/>
      <c r="T653" s="1">
        <v>1101492.0</v>
      </c>
      <c r="U653" s="1" t="s">
        <v>2181</v>
      </c>
      <c r="V653" s="1" t="s">
        <v>448</v>
      </c>
      <c r="W653" s="1" t="s">
        <v>177</v>
      </c>
      <c r="X653" s="1"/>
      <c r="Y653" s="1"/>
      <c r="Z653" s="1" t="s">
        <v>147</v>
      </c>
      <c r="AA653" s="1" t="s">
        <v>2973</v>
      </c>
      <c r="AB653" s="1" t="str">
        <f>"***556802**"</f>
        <v>***556802**</v>
      </c>
      <c r="AC653" s="1"/>
      <c r="AD653" s="1" t="s">
        <v>149</v>
      </c>
      <c r="AE653" s="1"/>
      <c r="AF653" s="1">
        <v>-63.864719</v>
      </c>
      <c r="AG653" s="1">
        <v>-12.137222</v>
      </c>
      <c r="AH653" s="1" t="s">
        <v>2974</v>
      </c>
      <c r="AI653" s="1"/>
      <c r="AJ653" s="1" t="s">
        <v>172</v>
      </c>
      <c r="AK653" s="1"/>
      <c r="AL653" s="1"/>
      <c r="AM653" s="1" t="s">
        <v>65</v>
      </c>
      <c r="AN653" s="1" t="s">
        <v>1395</v>
      </c>
      <c r="AO653" s="1"/>
      <c r="AP653" s="2">
        <v>43803.8518171296</v>
      </c>
      <c r="AQ653" s="1"/>
      <c r="AR653" s="1" t="s">
        <v>793</v>
      </c>
      <c r="AS653" s="1"/>
      <c r="AT653" s="2">
        <v>44269.931099537</v>
      </c>
    </row>
    <row r="654" ht="13.5" customHeight="1">
      <c r="A654" s="1"/>
      <c r="B654" s="1" t="s">
        <v>46</v>
      </c>
      <c r="C654" s="1" t="s">
        <v>47</v>
      </c>
      <c r="D654" s="1"/>
      <c r="E654" s="1" t="s">
        <v>2975</v>
      </c>
      <c r="F654" s="1"/>
      <c r="G654" s="1" t="s">
        <v>49</v>
      </c>
      <c r="H654" s="1" t="s">
        <v>93</v>
      </c>
      <c r="I654" s="1">
        <v>10000.0</v>
      </c>
      <c r="J654" s="1"/>
      <c r="K654" s="1" t="s">
        <v>51</v>
      </c>
      <c r="L654" s="1"/>
      <c r="M654" s="1" t="s">
        <v>2976</v>
      </c>
      <c r="N654" s="1" t="s">
        <v>142</v>
      </c>
      <c r="O654" s="1" t="s">
        <v>143</v>
      </c>
      <c r="P654" s="2">
        <v>43803.8377083333</v>
      </c>
      <c r="Q654" s="1" t="s">
        <v>74</v>
      </c>
      <c r="R654" s="3">
        <v>43803.0</v>
      </c>
      <c r="S654" s="1"/>
      <c r="T654" s="1">
        <v>1101492.0</v>
      </c>
      <c r="U654" s="1" t="s">
        <v>2181</v>
      </c>
      <c r="V654" s="1" t="s">
        <v>448</v>
      </c>
      <c r="W654" s="1" t="s">
        <v>177</v>
      </c>
      <c r="X654" s="1"/>
      <c r="Y654" s="1"/>
      <c r="Z654" s="1" t="s">
        <v>147</v>
      </c>
      <c r="AA654" s="1" t="s">
        <v>2977</v>
      </c>
      <c r="AB654" s="1" t="str">
        <f>"***361932**"</f>
        <v>***361932**</v>
      </c>
      <c r="AC654" s="1"/>
      <c r="AD654" s="1" t="s">
        <v>62</v>
      </c>
      <c r="AE654" s="1"/>
      <c r="AF654" s="1">
        <v>-63.798054</v>
      </c>
      <c r="AG654" s="1">
        <v>-12.116667</v>
      </c>
      <c r="AH654" s="1" t="s">
        <v>2978</v>
      </c>
      <c r="AI654" s="1"/>
      <c r="AJ654" s="1" t="s">
        <v>172</v>
      </c>
      <c r="AK654" s="1"/>
      <c r="AL654" s="1"/>
      <c r="AM654" s="1" t="s">
        <v>65</v>
      </c>
      <c r="AN654" s="1" t="s">
        <v>1395</v>
      </c>
      <c r="AO654" s="1"/>
      <c r="AP654" s="2">
        <v>43803.8475925926</v>
      </c>
      <c r="AQ654" s="1"/>
      <c r="AR654" s="1" t="s">
        <v>793</v>
      </c>
      <c r="AS654" s="1"/>
      <c r="AT654" s="2">
        <v>44269.931099537</v>
      </c>
    </row>
    <row r="655" ht="13.5" customHeight="1">
      <c r="A655" s="1"/>
      <c r="B655" s="1" t="s">
        <v>46</v>
      </c>
      <c r="C655" s="1" t="s">
        <v>47</v>
      </c>
      <c r="D655" s="1"/>
      <c r="E655" s="1" t="s">
        <v>2979</v>
      </c>
      <c r="F655" s="1"/>
      <c r="G655" s="1" t="s">
        <v>49</v>
      </c>
      <c r="H655" s="1" t="s">
        <v>93</v>
      </c>
      <c r="I655" s="1">
        <v>20000.0</v>
      </c>
      <c r="J655" s="1"/>
      <c r="K655" s="1" t="s">
        <v>51</v>
      </c>
      <c r="L655" s="1"/>
      <c r="M655" s="1" t="s">
        <v>2980</v>
      </c>
      <c r="N655" s="1" t="s">
        <v>142</v>
      </c>
      <c r="O655" s="1" t="s">
        <v>143</v>
      </c>
      <c r="P655" s="2">
        <v>43803.8270949074</v>
      </c>
      <c r="Q655" s="1" t="s">
        <v>74</v>
      </c>
      <c r="R655" s="1"/>
      <c r="S655" s="1"/>
      <c r="T655" s="1">
        <v>1101492.0</v>
      </c>
      <c r="U655" s="1" t="s">
        <v>2181</v>
      </c>
      <c r="V655" s="1" t="s">
        <v>448</v>
      </c>
      <c r="W655" s="1" t="s">
        <v>177</v>
      </c>
      <c r="X655" s="1"/>
      <c r="Y655" s="1"/>
      <c r="Z655" s="1" t="s">
        <v>147</v>
      </c>
      <c r="AA655" s="1" t="s">
        <v>2981</v>
      </c>
      <c r="AB655" s="1" t="str">
        <f>"***474344**"</f>
        <v>***474344**</v>
      </c>
      <c r="AC655" s="1"/>
      <c r="AD655" s="1" t="s">
        <v>149</v>
      </c>
      <c r="AE655" s="1"/>
      <c r="AF655" s="1">
        <v>-63.8825</v>
      </c>
      <c r="AG655" s="1">
        <v>-12.116944</v>
      </c>
      <c r="AH655" s="1" t="s">
        <v>2982</v>
      </c>
      <c r="AI655" s="1"/>
      <c r="AJ655" s="1" t="s">
        <v>172</v>
      </c>
      <c r="AK655" s="1"/>
      <c r="AL655" s="1"/>
      <c r="AM655" s="1" t="s">
        <v>65</v>
      </c>
      <c r="AN655" s="1" t="s">
        <v>1395</v>
      </c>
      <c r="AO655" s="1"/>
      <c r="AP655" s="2">
        <v>43803.8337037037</v>
      </c>
      <c r="AQ655" s="1"/>
      <c r="AR655" s="1" t="s">
        <v>793</v>
      </c>
      <c r="AS655" s="1"/>
      <c r="AT655" s="2">
        <v>44269.931099537</v>
      </c>
    </row>
    <row r="656" ht="13.5" customHeight="1">
      <c r="A656" s="1"/>
      <c r="B656" s="1" t="s">
        <v>46</v>
      </c>
      <c r="C656" s="1" t="s">
        <v>47</v>
      </c>
      <c r="D656" s="1"/>
      <c r="E656" s="1" t="s">
        <v>2983</v>
      </c>
      <c r="F656" s="1"/>
      <c r="G656" s="1" t="s">
        <v>49</v>
      </c>
      <c r="H656" s="1" t="s">
        <v>50</v>
      </c>
      <c r="I656" s="1">
        <v>100000.0</v>
      </c>
      <c r="J656" s="1"/>
      <c r="K656" s="1" t="s">
        <v>51</v>
      </c>
      <c r="L656" s="1"/>
      <c r="M656" s="1" t="s">
        <v>2984</v>
      </c>
      <c r="N656" s="1" t="s">
        <v>283</v>
      </c>
      <c r="O656" s="1" t="s">
        <v>1133</v>
      </c>
      <c r="P656" s="2">
        <v>43803.8231481482</v>
      </c>
      <c r="Q656" s="1" t="s">
        <v>74</v>
      </c>
      <c r="R656" s="3">
        <v>43341.0</v>
      </c>
      <c r="S656" s="1"/>
      <c r="T656" s="1">
        <v>3301009.0</v>
      </c>
      <c r="U656" s="1" t="s">
        <v>2985</v>
      </c>
      <c r="V656" s="1" t="s">
        <v>287</v>
      </c>
      <c r="W656" s="1" t="s">
        <v>288</v>
      </c>
      <c r="X656" s="1"/>
      <c r="Y656" s="1"/>
      <c r="Z656" s="1" t="s">
        <v>128</v>
      </c>
      <c r="AA656" s="1" t="s">
        <v>289</v>
      </c>
      <c r="AB656" s="1" t="str">
        <f t="shared" ref="AB656:AB659" si="30">"33000167000101"</f>
        <v>33000167000101</v>
      </c>
      <c r="AC656" s="1"/>
      <c r="AD656" s="1" t="s">
        <v>149</v>
      </c>
      <c r="AE656" s="1"/>
      <c r="AF656" s="1">
        <v>-40.329445</v>
      </c>
      <c r="AG656" s="1">
        <v>-22.254999</v>
      </c>
      <c r="AH656" s="1" t="s">
        <v>2855</v>
      </c>
      <c r="AI656" s="1"/>
      <c r="AJ656" s="1" t="s">
        <v>172</v>
      </c>
      <c r="AK656" s="1"/>
      <c r="AL656" s="1"/>
      <c r="AM656" s="1" t="s">
        <v>65</v>
      </c>
      <c r="AN656" s="1" t="s">
        <v>720</v>
      </c>
      <c r="AO656" s="1"/>
      <c r="AP656" s="2">
        <v>44013.7220717593</v>
      </c>
      <c r="AQ656" s="1"/>
      <c r="AR656" s="1" t="s">
        <v>1360</v>
      </c>
      <c r="AS656" s="1" t="s">
        <v>2986</v>
      </c>
      <c r="AT656" s="2">
        <v>44269.931099537</v>
      </c>
    </row>
    <row r="657" ht="13.5" customHeight="1">
      <c r="A657" s="1"/>
      <c r="B657" s="1" t="s">
        <v>46</v>
      </c>
      <c r="C657" s="1" t="s">
        <v>47</v>
      </c>
      <c r="D657" s="1"/>
      <c r="E657" s="1" t="s">
        <v>2987</v>
      </c>
      <c r="F657" s="1"/>
      <c r="G657" s="1" t="s">
        <v>49</v>
      </c>
      <c r="H657" s="1" t="s">
        <v>50</v>
      </c>
      <c r="I657" s="1">
        <v>100000.0</v>
      </c>
      <c r="J657" s="1"/>
      <c r="K657" s="1" t="s">
        <v>51</v>
      </c>
      <c r="L657" s="1"/>
      <c r="M657" s="1" t="s">
        <v>2988</v>
      </c>
      <c r="N657" s="1" t="s">
        <v>283</v>
      </c>
      <c r="O657" s="1" t="s">
        <v>1133</v>
      </c>
      <c r="P657" s="2">
        <v>43803.8160532407</v>
      </c>
      <c r="Q657" s="1" t="s">
        <v>74</v>
      </c>
      <c r="R657" s="3">
        <v>6941.0</v>
      </c>
      <c r="S657" s="1"/>
      <c r="T657" s="1">
        <v>3301009.0</v>
      </c>
      <c r="U657" s="1" t="s">
        <v>2985</v>
      </c>
      <c r="V657" s="1" t="s">
        <v>287</v>
      </c>
      <c r="W657" s="1" t="s">
        <v>288</v>
      </c>
      <c r="X657" s="1"/>
      <c r="Y657" s="1"/>
      <c r="Z657" s="1" t="s">
        <v>128</v>
      </c>
      <c r="AA657" s="1" t="s">
        <v>289</v>
      </c>
      <c r="AB657" s="1" t="str">
        <f t="shared" si="30"/>
        <v>33000167000101</v>
      </c>
      <c r="AC657" s="1"/>
      <c r="AD657" s="1" t="s">
        <v>149</v>
      </c>
      <c r="AE657" s="1"/>
      <c r="AF657" s="1">
        <v>-40.329445</v>
      </c>
      <c r="AG657" s="1">
        <v>-22.254999</v>
      </c>
      <c r="AH657" s="1" t="s">
        <v>2855</v>
      </c>
      <c r="AI657" s="1"/>
      <c r="AJ657" s="1" t="s">
        <v>172</v>
      </c>
      <c r="AK657" s="1"/>
      <c r="AL657" s="1"/>
      <c r="AM657" s="1" t="s">
        <v>65</v>
      </c>
      <c r="AN657" s="1" t="s">
        <v>720</v>
      </c>
      <c r="AO657" s="1"/>
      <c r="AP657" s="2">
        <v>44013.7221643519</v>
      </c>
      <c r="AQ657" s="1"/>
      <c r="AR657" s="1" t="s">
        <v>1360</v>
      </c>
      <c r="AS657" s="1" t="s">
        <v>1361</v>
      </c>
      <c r="AT657" s="2">
        <v>44269.931099537</v>
      </c>
    </row>
    <row r="658" ht="13.5" customHeight="1">
      <c r="A658" s="1"/>
      <c r="B658" s="1" t="s">
        <v>46</v>
      </c>
      <c r="C658" s="1" t="s">
        <v>47</v>
      </c>
      <c r="D658" s="1"/>
      <c r="E658" s="1" t="s">
        <v>2989</v>
      </c>
      <c r="F658" s="1"/>
      <c r="G658" s="1" t="s">
        <v>49</v>
      </c>
      <c r="H658" s="1" t="s">
        <v>50</v>
      </c>
      <c r="I658" s="1">
        <v>100000.0</v>
      </c>
      <c r="J658" s="1"/>
      <c r="K658" s="1" t="s">
        <v>51</v>
      </c>
      <c r="L658" s="1"/>
      <c r="M658" s="1" t="s">
        <v>2990</v>
      </c>
      <c r="N658" s="1" t="s">
        <v>283</v>
      </c>
      <c r="O658" s="1" t="s">
        <v>1133</v>
      </c>
      <c r="P658" s="2">
        <v>43803.8105902778</v>
      </c>
      <c r="Q658" s="1" t="s">
        <v>74</v>
      </c>
      <c r="R658" s="3">
        <v>6941.0</v>
      </c>
      <c r="S658" s="1"/>
      <c r="T658" s="1">
        <v>3301009.0</v>
      </c>
      <c r="U658" s="1" t="s">
        <v>2985</v>
      </c>
      <c r="V658" s="1" t="s">
        <v>287</v>
      </c>
      <c r="W658" s="1" t="s">
        <v>288</v>
      </c>
      <c r="X658" s="1"/>
      <c r="Y658" s="1"/>
      <c r="Z658" s="1" t="s">
        <v>128</v>
      </c>
      <c r="AA658" s="1" t="s">
        <v>289</v>
      </c>
      <c r="AB658" s="1" t="str">
        <f t="shared" si="30"/>
        <v>33000167000101</v>
      </c>
      <c r="AC658" s="1"/>
      <c r="AD658" s="1" t="s">
        <v>149</v>
      </c>
      <c r="AE658" s="1"/>
      <c r="AF658" s="1">
        <v>-40.329445</v>
      </c>
      <c r="AG658" s="1">
        <v>-22.254999</v>
      </c>
      <c r="AH658" s="1" t="s">
        <v>2855</v>
      </c>
      <c r="AI658" s="1"/>
      <c r="AJ658" s="1" t="s">
        <v>172</v>
      </c>
      <c r="AK658" s="1"/>
      <c r="AL658" s="1"/>
      <c r="AM658" s="1" t="s">
        <v>65</v>
      </c>
      <c r="AN658" s="1" t="s">
        <v>720</v>
      </c>
      <c r="AO658" s="1"/>
      <c r="AP658" s="2">
        <v>44013.7222569445</v>
      </c>
      <c r="AQ658" s="1"/>
      <c r="AR658" s="1" t="s">
        <v>1360</v>
      </c>
      <c r="AS658" s="1" t="s">
        <v>1361</v>
      </c>
      <c r="AT658" s="2">
        <v>44269.931099537</v>
      </c>
    </row>
    <row r="659" ht="13.5" customHeight="1">
      <c r="A659" s="1"/>
      <c r="B659" s="1" t="s">
        <v>46</v>
      </c>
      <c r="C659" s="1" t="s">
        <v>47</v>
      </c>
      <c r="D659" s="1"/>
      <c r="E659" s="1" t="s">
        <v>2991</v>
      </c>
      <c r="F659" s="1"/>
      <c r="G659" s="1" t="s">
        <v>49</v>
      </c>
      <c r="H659" s="1" t="s">
        <v>50</v>
      </c>
      <c r="I659" s="1">
        <v>100000.0</v>
      </c>
      <c r="J659" s="1"/>
      <c r="K659" s="1" t="s">
        <v>51</v>
      </c>
      <c r="L659" s="1"/>
      <c r="M659" s="1" t="s">
        <v>2992</v>
      </c>
      <c r="N659" s="1" t="s">
        <v>283</v>
      </c>
      <c r="O659" s="1" t="s">
        <v>1133</v>
      </c>
      <c r="P659" s="2">
        <v>43803.8046759259</v>
      </c>
      <c r="Q659" s="1" t="s">
        <v>74</v>
      </c>
      <c r="R659" s="3">
        <v>43328.0</v>
      </c>
      <c r="S659" s="1"/>
      <c r="T659" s="1">
        <v>3301009.0</v>
      </c>
      <c r="U659" s="1" t="s">
        <v>2985</v>
      </c>
      <c r="V659" s="1" t="s">
        <v>287</v>
      </c>
      <c r="W659" s="1" t="s">
        <v>288</v>
      </c>
      <c r="X659" s="1"/>
      <c r="Y659" s="1"/>
      <c r="Z659" s="1" t="s">
        <v>128</v>
      </c>
      <c r="AA659" s="1" t="s">
        <v>289</v>
      </c>
      <c r="AB659" s="1" t="str">
        <f t="shared" si="30"/>
        <v>33000167000101</v>
      </c>
      <c r="AC659" s="1"/>
      <c r="AD659" s="1" t="s">
        <v>149</v>
      </c>
      <c r="AE659" s="1"/>
      <c r="AF659" s="1">
        <v>-40.329445</v>
      </c>
      <c r="AG659" s="1">
        <v>-22.254999</v>
      </c>
      <c r="AH659" s="1" t="s">
        <v>2855</v>
      </c>
      <c r="AI659" s="1"/>
      <c r="AJ659" s="1" t="s">
        <v>172</v>
      </c>
      <c r="AK659" s="1"/>
      <c r="AL659" s="1"/>
      <c r="AM659" s="1" t="s">
        <v>65</v>
      </c>
      <c r="AN659" s="1" t="s">
        <v>720</v>
      </c>
      <c r="AO659" s="1"/>
      <c r="AP659" s="2">
        <v>44013.722349537</v>
      </c>
      <c r="AQ659" s="1"/>
      <c r="AR659" s="1" t="s">
        <v>1360</v>
      </c>
      <c r="AS659" s="1" t="s">
        <v>1361</v>
      </c>
      <c r="AT659" s="2">
        <v>44269.931099537</v>
      </c>
    </row>
    <row r="660" ht="13.5" customHeight="1">
      <c r="A660" s="1"/>
      <c r="B660" s="1" t="s">
        <v>46</v>
      </c>
      <c r="C660" s="1" t="s">
        <v>47</v>
      </c>
      <c r="D660" s="1"/>
      <c r="E660" s="1" t="s">
        <v>2993</v>
      </c>
      <c r="F660" s="1"/>
      <c r="G660" s="1" t="s">
        <v>49</v>
      </c>
      <c r="H660" s="1" t="s">
        <v>93</v>
      </c>
      <c r="I660" s="1">
        <v>148500.0</v>
      </c>
      <c r="J660" s="1"/>
      <c r="K660" s="1"/>
      <c r="L660" s="1"/>
      <c r="M660" s="1" t="s">
        <v>2994</v>
      </c>
      <c r="N660" s="1" t="s">
        <v>142</v>
      </c>
      <c r="O660" s="1" t="s">
        <v>143</v>
      </c>
      <c r="P660" s="2">
        <v>43803.7864467593</v>
      </c>
      <c r="Q660" s="1" t="s">
        <v>55</v>
      </c>
      <c r="R660" s="1"/>
      <c r="S660" s="1"/>
      <c r="T660" s="1">
        <v>5000609.0</v>
      </c>
      <c r="U660" s="1" t="s">
        <v>2995</v>
      </c>
      <c r="V660" s="1" t="s">
        <v>529</v>
      </c>
      <c r="W660" s="1" t="s">
        <v>59</v>
      </c>
      <c r="X660" s="1"/>
      <c r="Y660" s="1"/>
      <c r="Z660" s="1" t="s">
        <v>147</v>
      </c>
      <c r="AA660" s="1" t="s">
        <v>2996</v>
      </c>
      <c r="AB660" s="1" t="str">
        <f>"***018696**"</f>
        <v>***018696**</v>
      </c>
      <c r="AC660" s="1"/>
      <c r="AD660" s="1" t="s">
        <v>116</v>
      </c>
      <c r="AE660" s="1"/>
      <c r="AF660" s="1">
        <v>-54.793331</v>
      </c>
      <c r="AG660" s="1">
        <v>-23.079723</v>
      </c>
      <c r="AH660" s="1" t="s">
        <v>2997</v>
      </c>
      <c r="AI660" s="1"/>
      <c r="AJ660" s="1" t="s">
        <v>533</v>
      </c>
      <c r="AK660" s="1"/>
      <c r="AL660" s="1"/>
      <c r="AM660" s="1" t="s">
        <v>65</v>
      </c>
      <c r="AN660" s="1" t="s">
        <v>534</v>
      </c>
      <c r="AO660" s="1"/>
      <c r="AP660" s="2">
        <v>43803.7958912037</v>
      </c>
      <c r="AQ660" s="1"/>
      <c r="AR660" s="1" t="s">
        <v>1746</v>
      </c>
      <c r="AS660" s="1" t="s">
        <v>2998</v>
      </c>
      <c r="AT660" s="2">
        <v>44269.931099537</v>
      </c>
    </row>
    <row r="661" ht="13.5" customHeight="1">
      <c r="A661" s="1"/>
      <c r="B661" s="1" t="s">
        <v>46</v>
      </c>
      <c r="C661" s="1" t="s">
        <v>47</v>
      </c>
      <c r="D661" s="1"/>
      <c r="E661" s="1" t="s">
        <v>2999</v>
      </c>
      <c r="F661" s="1"/>
      <c r="G661" s="1" t="s">
        <v>49</v>
      </c>
      <c r="H661" s="1" t="s">
        <v>93</v>
      </c>
      <c r="I661" s="1">
        <v>10000.0</v>
      </c>
      <c r="J661" s="1"/>
      <c r="K661" s="1" t="s">
        <v>51</v>
      </c>
      <c r="L661" s="1"/>
      <c r="M661" s="1" t="s">
        <v>3000</v>
      </c>
      <c r="N661" s="1" t="s">
        <v>142</v>
      </c>
      <c r="O661" s="1" t="s">
        <v>143</v>
      </c>
      <c r="P661" s="2">
        <v>43803.7847453704</v>
      </c>
      <c r="Q661" s="1" t="s">
        <v>74</v>
      </c>
      <c r="R661" s="3">
        <v>43803.0</v>
      </c>
      <c r="S661" s="1"/>
      <c r="T661" s="1">
        <v>1101492.0</v>
      </c>
      <c r="U661" s="1" t="s">
        <v>2181</v>
      </c>
      <c r="V661" s="1" t="s">
        <v>448</v>
      </c>
      <c r="W661" s="1" t="s">
        <v>177</v>
      </c>
      <c r="X661" s="1"/>
      <c r="Y661" s="1"/>
      <c r="Z661" s="1" t="s">
        <v>147</v>
      </c>
      <c r="AA661" s="1" t="s">
        <v>3001</v>
      </c>
      <c r="AB661" s="1" t="str">
        <f>"***203402**"</f>
        <v>***203402**</v>
      </c>
      <c r="AC661" s="1"/>
      <c r="AD661" s="1" t="s">
        <v>62</v>
      </c>
      <c r="AE661" s="1"/>
      <c r="AF661" s="1">
        <v>-63.830833</v>
      </c>
      <c r="AG661" s="1">
        <v>-12.190556</v>
      </c>
      <c r="AH661" s="1" t="s">
        <v>3002</v>
      </c>
      <c r="AI661" s="1"/>
      <c r="AJ661" s="1" t="s">
        <v>172</v>
      </c>
      <c r="AK661" s="1"/>
      <c r="AL661" s="1"/>
      <c r="AM661" s="1" t="s">
        <v>65</v>
      </c>
      <c r="AN661" s="1" t="s">
        <v>1395</v>
      </c>
      <c r="AO661" s="1"/>
      <c r="AP661" s="2">
        <v>43803.7942824074</v>
      </c>
      <c r="AQ661" s="1"/>
      <c r="AR661" s="1" t="s">
        <v>793</v>
      </c>
      <c r="AS661" s="1"/>
      <c r="AT661" s="2">
        <v>44269.931099537</v>
      </c>
    </row>
    <row r="662" ht="13.5" customHeight="1">
      <c r="A662" s="1"/>
      <c r="B662" s="1" t="s">
        <v>46</v>
      </c>
      <c r="C662" s="1" t="s">
        <v>47</v>
      </c>
      <c r="D662" s="1"/>
      <c r="E662" s="1" t="s">
        <v>3003</v>
      </c>
      <c r="F662" s="1"/>
      <c r="G662" s="1" t="s">
        <v>49</v>
      </c>
      <c r="H662" s="1" t="s">
        <v>50</v>
      </c>
      <c r="I662" s="1">
        <v>200000.0</v>
      </c>
      <c r="J662" s="1"/>
      <c r="K662" s="1" t="s">
        <v>51</v>
      </c>
      <c r="L662" s="1"/>
      <c r="M662" s="1" t="s">
        <v>3004</v>
      </c>
      <c r="N662" s="1" t="s">
        <v>283</v>
      </c>
      <c r="O662" s="1" t="s">
        <v>1133</v>
      </c>
      <c r="P662" s="2">
        <v>43803.7812384259</v>
      </c>
      <c r="Q662" s="1" t="s">
        <v>74</v>
      </c>
      <c r="R662" s="3">
        <v>6941.0</v>
      </c>
      <c r="S662" s="1"/>
      <c r="T662" s="1">
        <v>3301009.0</v>
      </c>
      <c r="U662" s="1" t="s">
        <v>2985</v>
      </c>
      <c r="V662" s="1" t="s">
        <v>287</v>
      </c>
      <c r="W662" s="1" t="s">
        <v>288</v>
      </c>
      <c r="X662" s="1"/>
      <c r="Y662" s="1"/>
      <c r="Z662" s="1" t="s">
        <v>128</v>
      </c>
      <c r="AA662" s="1" t="s">
        <v>289</v>
      </c>
      <c r="AB662" s="1" t="str">
        <f>"33000167000101"</f>
        <v>33000167000101</v>
      </c>
      <c r="AC662" s="1"/>
      <c r="AD662" s="1" t="s">
        <v>149</v>
      </c>
      <c r="AE662" s="1"/>
      <c r="AF662" s="1">
        <v>-40.329445</v>
      </c>
      <c r="AG662" s="1">
        <v>-22.254999</v>
      </c>
      <c r="AH662" s="1" t="s">
        <v>2855</v>
      </c>
      <c r="AI662" s="1"/>
      <c r="AJ662" s="1" t="s">
        <v>172</v>
      </c>
      <c r="AK662" s="1"/>
      <c r="AL662" s="1"/>
      <c r="AM662" s="1" t="s">
        <v>65</v>
      </c>
      <c r="AN662" s="1" t="s">
        <v>720</v>
      </c>
      <c r="AO662" s="1"/>
      <c r="AP662" s="2">
        <v>44013.7224537037</v>
      </c>
      <c r="AQ662" s="1"/>
      <c r="AR662" s="1" t="s">
        <v>1360</v>
      </c>
      <c r="AS662" s="1" t="s">
        <v>3005</v>
      </c>
      <c r="AT662" s="2">
        <v>44269.931099537</v>
      </c>
    </row>
    <row r="663" ht="13.5" customHeight="1">
      <c r="A663" s="1"/>
      <c r="B663" s="1" t="s">
        <v>46</v>
      </c>
      <c r="C663" s="1" t="s">
        <v>47</v>
      </c>
      <c r="D663" s="1"/>
      <c r="E663" s="1" t="s">
        <v>3006</v>
      </c>
      <c r="F663" s="1"/>
      <c r="G663" s="1" t="s">
        <v>49</v>
      </c>
      <c r="H663" s="1" t="s">
        <v>93</v>
      </c>
      <c r="I663" s="1">
        <v>20000.0</v>
      </c>
      <c r="J663" s="1"/>
      <c r="K663" s="1" t="s">
        <v>51</v>
      </c>
      <c r="L663" s="1"/>
      <c r="M663" s="1" t="s">
        <v>3007</v>
      </c>
      <c r="N663" s="1" t="s">
        <v>142</v>
      </c>
      <c r="O663" s="1" t="s">
        <v>143</v>
      </c>
      <c r="P663" s="2">
        <v>43803.7703356482</v>
      </c>
      <c r="Q663" s="1" t="s">
        <v>74</v>
      </c>
      <c r="R663" s="1"/>
      <c r="S663" s="1"/>
      <c r="T663" s="1">
        <v>1101492.0</v>
      </c>
      <c r="U663" s="1" t="s">
        <v>2181</v>
      </c>
      <c r="V663" s="1" t="s">
        <v>448</v>
      </c>
      <c r="W663" s="1" t="s">
        <v>177</v>
      </c>
      <c r="X663" s="1"/>
      <c r="Y663" s="1"/>
      <c r="Z663" s="1" t="s">
        <v>147</v>
      </c>
      <c r="AA663" s="1" t="s">
        <v>3008</v>
      </c>
      <c r="AB663" s="1" t="str">
        <f>"***175602**"</f>
        <v>***175602**</v>
      </c>
      <c r="AC663" s="1"/>
      <c r="AD663" s="1" t="s">
        <v>149</v>
      </c>
      <c r="AE663" s="1"/>
      <c r="AF663" s="1">
        <v>-63.846943</v>
      </c>
      <c r="AG663" s="1">
        <v>-12.226944</v>
      </c>
      <c r="AH663" s="1" t="s">
        <v>3009</v>
      </c>
      <c r="AI663" s="1"/>
      <c r="AJ663" s="1" t="s">
        <v>172</v>
      </c>
      <c r="AK663" s="1"/>
      <c r="AL663" s="1"/>
      <c r="AM663" s="1" t="s">
        <v>65</v>
      </c>
      <c r="AN663" s="1" t="s">
        <v>1395</v>
      </c>
      <c r="AO663" s="1"/>
      <c r="AP663" s="2">
        <v>43803.7735069444</v>
      </c>
      <c r="AQ663" s="1"/>
      <c r="AR663" s="1" t="s">
        <v>793</v>
      </c>
      <c r="AS663" s="1"/>
      <c r="AT663" s="2">
        <v>44269.931099537</v>
      </c>
    </row>
    <row r="664" ht="13.5" customHeight="1">
      <c r="A664" s="1">
        <v>2035100.0</v>
      </c>
      <c r="B664" s="1" t="s">
        <v>67</v>
      </c>
      <c r="C664" s="1" t="s">
        <v>89</v>
      </c>
      <c r="D664" s="1" t="s">
        <v>67</v>
      </c>
      <c r="E664" s="1" t="s">
        <v>3010</v>
      </c>
      <c r="F664" s="1"/>
      <c r="G664" s="1" t="s">
        <v>70</v>
      </c>
      <c r="H664" s="1" t="s">
        <v>93</v>
      </c>
      <c r="I664" s="1">
        <v>1608675.0</v>
      </c>
      <c r="J664" s="1"/>
      <c r="K664" s="1"/>
      <c r="L664" s="1" t="s">
        <v>172</v>
      </c>
      <c r="M664" s="1" t="s">
        <v>3011</v>
      </c>
      <c r="N664" s="1" t="s">
        <v>142</v>
      </c>
      <c r="O664" s="1" t="s">
        <v>143</v>
      </c>
      <c r="P664" s="2">
        <v>43803.75</v>
      </c>
      <c r="Q664" s="1" t="s">
        <v>373</v>
      </c>
      <c r="R664" s="3">
        <v>43803.0</v>
      </c>
      <c r="S664" s="1"/>
      <c r="T664" s="1">
        <v>1302405.0</v>
      </c>
      <c r="U664" s="1" t="s">
        <v>2258</v>
      </c>
      <c r="V664" s="1" t="s">
        <v>486</v>
      </c>
      <c r="W664" s="1" t="s">
        <v>177</v>
      </c>
      <c r="X664" s="1"/>
      <c r="Y664" s="1" t="str">
        <f>"02001003782202014"</f>
        <v>02001003782202014</v>
      </c>
      <c r="Z664" s="1" t="s">
        <v>147</v>
      </c>
      <c r="AA664" s="1" t="s">
        <v>2681</v>
      </c>
      <c r="AB664" s="1" t="str">
        <f>"***523362**"</f>
        <v>***523362**</v>
      </c>
      <c r="AC664" s="1"/>
      <c r="AD664" s="1"/>
      <c r="AE664" s="1"/>
      <c r="AF664" s="1">
        <v>-66.983055</v>
      </c>
      <c r="AG664" s="1">
        <v>-8.601667</v>
      </c>
      <c r="AH664" s="1" t="s">
        <v>3012</v>
      </c>
      <c r="AI664" s="1"/>
      <c r="AJ664" s="1" t="s">
        <v>172</v>
      </c>
      <c r="AK664" s="1"/>
      <c r="AL664" s="1" t="s">
        <v>79</v>
      </c>
      <c r="AM664" s="1" t="s">
        <v>65</v>
      </c>
      <c r="AN664" s="1" t="s">
        <v>1395</v>
      </c>
      <c r="AO664" s="2">
        <v>43895.0</v>
      </c>
      <c r="AP664" s="2">
        <v>44034.4918518519</v>
      </c>
      <c r="AQ664" s="1" t="s">
        <v>89</v>
      </c>
      <c r="AR664" s="1" t="s">
        <v>636</v>
      </c>
      <c r="AS664" s="1"/>
      <c r="AT664" s="2">
        <v>44269.931099537</v>
      </c>
    </row>
    <row r="665" ht="13.5" customHeight="1">
      <c r="A665" s="1">
        <v>2039241.0</v>
      </c>
      <c r="B665" s="1" t="s">
        <v>67</v>
      </c>
      <c r="C665" s="1" t="s">
        <v>68</v>
      </c>
      <c r="D665" s="1" t="s">
        <v>46</v>
      </c>
      <c r="E665" s="1" t="s">
        <v>3013</v>
      </c>
      <c r="F665" s="1"/>
      <c r="G665" s="1" t="s">
        <v>70</v>
      </c>
      <c r="H665" s="1" t="s">
        <v>50</v>
      </c>
      <c r="I665" s="1">
        <v>10000.0</v>
      </c>
      <c r="J665" s="1"/>
      <c r="K665" s="1"/>
      <c r="L665" s="1" t="s">
        <v>172</v>
      </c>
      <c r="M665" s="1" t="s">
        <v>3014</v>
      </c>
      <c r="N665" s="1" t="s">
        <v>142</v>
      </c>
      <c r="O665" s="1" t="s">
        <v>143</v>
      </c>
      <c r="P665" s="2">
        <v>43803.75</v>
      </c>
      <c r="Q665" s="1" t="s">
        <v>74</v>
      </c>
      <c r="R665" s="1"/>
      <c r="S665" s="1"/>
      <c r="T665" s="1">
        <v>1101492.0</v>
      </c>
      <c r="U665" s="1" t="s">
        <v>2181</v>
      </c>
      <c r="V665" s="1" t="s">
        <v>448</v>
      </c>
      <c r="W665" s="1" t="s">
        <v>177</v>
      </c>
      <c r="X665" s="1"/>
      <c r="Y665" s="1" t="str">
        <f>"02001034671201916"</f>
        <v>02001034671201916</v>
      </c>
      <c r="Z665" s="1" t="s">
        <v>147</v>
      </c>
      <c r="AA665" s="1" t="s">
        <v>3015</v>
      </c>
      <c r="AB665" s="1" t="str">
        <f>"***571892**"</f>
        <v>***571892**</v>
      </c>
      <c r="AC665" s="1"/>
      <c r="AD665" s="1"/>
      <c r="AE665" s="1"/>
      <c r="AF665" s="1">
        <v>-63.990002</v>
      </c>
      <c r="AG665" s="1">
        <v>-12.159916</v>
      </c>
      <c r="AH665" s="1" t="s">
        <v>3016</v>
      </c>
      <c r="AI665" s="1"/>
      <c r="AJ665" s="1" t="s">
        <v>172</v>
      </c>
      <c r="AK665" s="1"/>
      <c r="AL665" s="1" t="s">
        <v>79</v>
      </c>
      <c r="AM665" s="1" t="s">
        <v>65</v>
      </c>
      <c r="AN665" s="1" t="s">
        <v>1395</v>
      </c>
      <c r="AO665" s="2">
        <v>44057.0</v>
      </c>
      <c r="AP665" s="2">
        <v>44057.4627083333</v>
      </c>
      <c r="AQ665" s="1" t="s">
        <v>80</v>
      </c>
      <c r="AR665" s="1" t="s">
        <v>1607</v>
      </c>
      <c r="AS665" s="1"/>
      <c r="AT665" s="2">
        <v>44269.931099537</v>
      </c>
    </row>
    <row r="666" ht="13.5" customHeight="1">
      <c r="A666" s="1"/>
      <c r="B666" s="1" t="s">
        <v>46</v>
      </c>
      <c r="C666" s="1" t="s">
        <v>47</v>
      </c>
      <c r="D666" s="1"/>
      <c r="E666" s="1" t="s">
        <v>3017</v>
      </c>
      <c r="F666" s="1"/>
      <c r="G666" s="1" t="s">
        <v>49</v>
      </c>
      <c r="H666" s="1" t="s">
        <v>93</v>
      </c>
      <c r="I666" s="1">
        <v>6900.3</v>
      </c>
      <c r="J666" s="1"/>
      <c r="K666" s="1"/>
      <c r="L666" s="1"/>
      <c r="M666" s="1" t="s">
        <v>3018</v>
      </c>
      <c r="N666" s="1" t="s">
        <v>142</v>
      </c>
      <c r="O666" s="1" t="s">
        <v>143</v>
      </c>
      <c r="P666" s="2">
        <v>43803.7446759259</v>
      </c>
      <c r="Q666" s="1" t="s">
        <v>373</v>
      </c>
      <c r="R666" s="1"/>
      <c r="S666" s="1"/>
      <c r="T666" s="1">
        <v>2211308.0</v>
      </c>
      <c r="U666" s="1" t="s">
        <v>3019</v>
      </c>
      <c r="V666" s="1" t="s">
        <v>895</v>
      </c>
      <c r="W666" s="1" t="s">
        <v>113</v>
      </c>
      <c r="X666" s="1"/>
      <c r="Y666" s="1"/>
      <c r="Z666" s="1" t="s">
        <v>147</v>
      </c>
      <c r="AA666" s="1" t="s">
        <v>3020</v>
      </c>
      <c r="AB666" s="1" t="str">
        <f>"***845968**"</f>
        <v>***845968**</v>
      </c>
      <c r="AC666" s="1"/>
      <c r="AD666" s="1" t="s">
        <v>149</v>
      </c>
      <c r="AE666" s="1"/>
      <c r="AF666" s="1">
        <v>-41.776943</v>
      </c>
      <c r="AG666" s="1">
        <v>-6.371944</v>
      </c>
      <c r="AH666" s="1" t="s">
        <v>3021</v>
      </c>
      <c r="AI666" s="1"/>
      <c r="AJ666" s="1" t="s">
        <v>898</v>
      </c>
      <c r="AK666" s="1"/>
      <c r="AL666" s="1"/>
      <c r="AM666" s="1" t="s">
        <v>65</v>
      </c>
      <c r="AN666" s="1" t="s">
        <v>152</v>
      </c>
      <c r="AO666" s="1"/>
      <c r="AP666" s="2">
        <v>44050.7597337963</v>
      </c>
      <c r="AQ666" s="1"/>
      <c r="AR666" s="1" t="s">
        <v>280</v>
      </c>
      <c r="AS666" s="1"/>
      <c r="AT666" s="2">
        <v>44269.931099537</v>
      </c>
    </row>
    <row r="667" ht="13.5" customHeight="1">
      <c r="A667" s="1"/>
      <c r="B667" s="1" t="s">
        <v>46</v>
      </c>
      <c r="C667" s="1" t="s">
        <v>47</v>
      </c>
      <c r="D667" s="1"/>
      <c r="E667" s="1" t="s">
        <v>3022</v>
      </c>
      <c r="F667" s="1"/>
      <c r="G667" s="1" t="s">
        <v>49</v>
      </c>
      <c r="H667" s="1" t="s">
        <v>50</v>
      </c>
      <c r="I667" s="1">
        <v>25000.0</v>
      </c>
      <c r="J667" s="1"/>
      <c r="K667" s="1" t="s">
        <v>51</v>
      </c>
      <c r="L667" s="1"/>
      <c r="M667" s="1" t="s">
        <v>2381</v>
      </c>
      <c r="N667" s="1" t="s">
        <v>977</v>
      </c>
      <c r="O667" s="1" t="s">
        <v>978</v>
      </c>
      <c r="P667" s="2">
        <v>43803.7336805556</v>
      </c>
      <c r="Q667" s="1" t="s">
        <v>74</v>
      </c>
      <c r="R667" s="1"/>
      <c r="S667" s="1"/>
      <c r="T667" s="1">
        <v>4106902.0</v>
      </c>
      <c r="U667" s="1" t="s">
        <v>355</v>
      </c>
      <c r="V667" s="1" t="s">
        <v>176</v>
      </c>
      <c r="W667" s="1" t="s">
        <v>59</v>
      </c>
      <c r="X667" s="1"/>
      <c r="Y667" s="1"/>
      <c r="Z667" s="1" t="s">
        <v>980</v>
      </c>
      <c r="AA667" s="1" t="s">
        <v>3023</v>
      </c>
      <c r="AB667" s="1" t="str">
        <f>"81485054000196"</f>
        <v>81485054000196</v>
      </c>
      <c r="AC667" s="1"/>
      <c r="AD667" s="1" t="s">
        <v>149</v>
      </c>
      <c r="AE667" s="1"/>
      <c r="AF667" s="1">
        <v>-49.310833</v>
      </c>
      <c r="AG667" s="1">
        <v>-25.575834</v>
      </c>
      <c r="AH667" s="1" t="s">
        <v>982</v>
      </c>
      <c r="AI667" s="1"/>
      <c r="AJ667" s="1" t="s">
        <v>172</v>
      </c>
      <c r="AK667" s="1"/>
      <c r="AL667" s="1"/>
      <c r="AM667" s="1" t="s">
        <v>65</v>
      </c>
      <c r="AN667" s="1" t="s">
        <v>983</v>
      </c>
      <c r="AO667" s="1"/>
      <c r="AP667" s="2">
        <v>44008.7415509259</v>
      </c>
      <c r="AQ667" s="1"/>
      <c r="AR667" s="1" t="s">
        <v>984</v>
      </c>
      <c r="AS667" s="1" t="s">
        <v>2441</v>
      </c>
      <c r="AT667" s="2">
        <v>44269.931099537</v>
      </c>
    </row>
    <row r="668" ht="13.5" customHeight="1">
      <c r="A668" s="1"/>
      <c r="B668" s="1" t="s">
        <v>46</v>
      </c>
      <c r="C668" s="1" t="s">
        <v>47</v>
      </c>
      <c r="D668" s="1"/>
      <c r="E668" s="1" t="s">
        <v>3024</v>
      </c>
      <c r="F668" s="1"/>
      <c r="G668" s="1" t="s">
        <v>49</v>
      </c>
      <c r="H668" s="1" t="s">
        <v>93</v>
      </c>
      <c r="I668" s="1">
        <v>200000.0</v>
      </c>
      <c r="J668" s="1"/>
      <c r="K668" s="1"/>
      <c r="L668" s="1"/>
      <c r="M668" s="1" t="s">
        <v>3025</v>
      </c>
      <c r="N668" s="1" t="s">
        <v>142</v>
      </c>
      <c r="O668" s="1" t="s">
        <v>143</v>
      </c>
      <c r="P668" s="2">
        <v>43803.728587963</v>
      </c>
      <c r="Q668" s="1" t="s">
        <v>373</v>
      </c>
      <c r="R668" s="1"/>
      <c r="S668" s="1"/>
      <c r="T668" s="1">
        <v>5106158.0</v>
      </c>
      <c r="U668" s="1" t="s">
        <v>1700</v>
      </c>
      <c r="V668" s="1" t="s">
        <v>164</v>
      </c>
      <c r="W668" s="1" t="s">
        <v>177</v>
      </c>
      <c r="X668" s="1"/>
      <c r="Y668" s="1"/>
      <c r="Z668" s="1" t="s">
        <v>147</v>
      </c>
      <c r="AA668" s="1" t="s">
        <v>3026</v>
      </c>
      <c r="AB668" s="1" t="str">
        <f>"***810681**"</f>
        <v>***810681**</v>
      </c>
      <c r="AC668" s="1"/>
      <c r="AD668" s="1" t="s">
        <v>116</v>
      </c>
      <c r="AE668" s="1"/>
      <c r="AF668" s="1">
        <v>-58.049725</v>
      </c>
      <c r="AG668" s="1">
        <v>-10.249444</v>
      </c>
      <c r="AH668" s="1" t="s">
        <v>3027</v>
      </c>
      <c r="AI668" s="1"/>
      <c r="AJ668" s="1" t="s">
        <v>172</v>
      </c>
      <c r="AK668" s="1"/>
      <c r="AL668" s="1"/>
      <c r="AM668" s="1" t="s">
        <v>65</v>
      </c>
      <c r="AN668" s="1" t="s">
        <v>1703</v>
      </c>
      <c r="AO668" s="1"/>
      <c r="AP668" s="2">
        <v>44018.8744791667</v>
      </c>
      <c r="AQ668" s="1"/>
      <c r="AR668" s="1" t="s">
        <v>871</v>
      </c>
      <c r="AS668" s="1"/>
      <c r="AT668" s="2">
        <v>44269.931099537</v>
      </c>
    </row>
    <row r="669" ht="13.5" customHeight="1">
      <c r="A669" s="1"/>
      <c r="B669" s="1" t="s">
        <v>46</v>
      </c>
      <c r="C669" s="1" t="s">
        <v>47</v>
      </c>
      <c r="D669" s="1"/>
      <c r="E669" s="1" t="s">
        <v>3028</v>
      </c>
      <c r="F669" s="1"/>
      <c r="G669" s="1" t="s">
        <v>49</v>
      </c>
      <c r="H669" s="1" t="s">
        <v>50</v>
      </c>
      <c r="I669" s="1">
        <v>20000.0</v>
      </c>
      <c r="J669" s="1"/>
      <c r="K669" s="1" t="s">
        <v>140</v>
      </c>
      <c r="L669" s="1"/>
      <c r="M669" s="1" t="s">
        <v>3029</v>
      </c>
      <c r="N669" s="1" t="s">
        <v>123</v>
      </c>
      <c r="O669" s="1" t="s">
        <v>73</v>
      </c>
      <c r="P669" s="2">
        <v>43803.7262384259</v>
      </c>
      <c r="Q669" s="1" t="s">
        <v>74</v>
      </c>
      <c r="R669" s="3">
        <v>43808.0</v>
      </c>
      <c r="S669" s="1"/>
      <c r="T669" s="1">
        <v>1100080.0</v>
      </c>
      <c r="U669" s="1" t="s">
        <v>1392</v>
      </c>
      <c r="V669" s="1" t="s">
        <v>448</v>
      </c>
      <c r="W669" s="1" t="s">
        <v>177</v>
      </c>
      <c r="X669" s="1"/>
      <c r="Y669" s="1"/>
      <c r="Z669" s="1" t="s">
        <v>76</v>
      </c>
      <c r="AA669" s="1" t="s">
        <v>3030</v>
      </c>
      <c r="AB669" s="1" t="str">
        <f>"***696111**"</f>
        <v>***696111**</v>
      </c>
      <c r="AC669" s="1"/>
      <c r="AD669" s="1" t="s">
        <v>149</v>
      </c>
      <c r="AE669" s="1"/>
      <c r="AF669" s="1">
        <v>-36.988613</v>
      </c>
      <c r="AG669" s="1">
        <v>-12.378889</v>
      </c>
      <c r="AH669" s="1" t="s">
        <v>3031</v>
      </c>
      <c r="AI669" s="1"/>
      <c r="AJ669" s="1" t="s">
        <v>172</v>
      </c>
      <c r="AK669" s="1"/>
      <c r="AL669" s="1"/>
      <c r="AM669" s="1" t="s">
        <v>65</v>
      </c>
      <c r="AN669" s="1" t="s">
        <v>1395</v>
      </c>
      <c r="AO669" s="1"/>
      <c r="AP669" s="2">
        <v>44057.5962152778</v>
      </c>
      <c r="AQ669" s="1"/>
      <c r="AR669" s="1" t="s">
        <v>793</v>
      </c>
      <c r="AS669" s="1"/>
      <c r="AT669" s="2">
        <v>44269.931099537</v>
      </c>
    </row>
    <row r="670" ht="13.5" customHeight="1">
      <c r="A670" s="1"/>
      <c r="B670" s="1" t="s">
        <v>46</v>
      </c>
      <c r="C670" s="1" t="s">
        <v>47</v>
      </c>
      <c r="D670" s="1"/>
      <c r="E670" s="1" t="s">
        <v>3032</v>
      </c>
      <c r="F670" s="1"/>
      <c r="G670" s="1" t="s">
        <v>49</v>
      </c>
      <c r="H670" s="1" t="s">
        <v>50</v>
      </c>
      <c r="I670" s="1">
        <v>100000.0</v>
      </c>
      <c r="J670" s="1"/>
      <c r="K670" s="1" t="s">
        <v>51</v>
      </c>
      <c r="L670" s="1"/>
      <c r="M670" s="1" t="s">
        <v>3033</v>
      </c>
      <c r="N670" s="1" t="s">
        <v>283</v>
      </c>
      <c r="O670" s="1" t="s">
        <v>1133</v>
      </c>
      <c r="P670" s="2">
        <v>43803.7204166667</v>
      </c>
      <c r="Q670" s="1" t="s">
        <v>74</v>
      </c>
      <c r="R670" s="1"/>
      <c r="S670" s="1"/>
      <c r="T670" s="1">
        <v>3204302.0</v>
      </c>
      <c r="U670" s="1" t="s">
        <v>1380</v>
      </c>
      <c r="V670" s="1" t="s">
        <v>403</v>
      </c>
      <c r="W670" s="1" t="s">
        <v>288</v>
      </c>
      <c r="X670" s="1"/>
      <c r="Y670" s="1"/>
      <c r="Z670" s="1" t="s">
        <v>128</v>
      </c>
      <c r="AA670" s="1" t="s">
        <v>3034</v>
      </c>
      <c r="AB670" s="1" t="str">
        <f>"33000167000101"</f>
        <v>33000167000101</v>
      </c>
      <c r="AC670" s="1"/>
      <c r="AD670" s="1" t="s">
        <v>62</v>
      </c>
      <c r="AE670" s="1"/>
      <c r="AF670" s="1">
        <v>-40.045277</v>
      </c>
      <c r="AG670" s="1">
        <v>-21.242779</v>
      </c>
      <c r="AH670" s="1" t="s">
        <v>2855</v>
      </c>
      <c r="AI670" s="1"/>
      <c r="AJ670" s="1" t="s">
        <v>172</v>
      </c>
      <c r="AK670" s="1"/>
      <c r="AL670" s="1"/>
      <c r="AM670" s="1" t="s">
        <v>65</v>
      </c>
      <c r="AN670" s="1" t="s">
        <v>720</v>
      </c>
      <c r="AO670" s="1"/>
      <c r="AP670" s="2">
        <v>44013.7226388889</v>
      </c>
      <c r="AQ670" s="1"/>
      <c r="AR670" s="1" t="s">
        <v>1360</v>
      </c>
      <c r="AS670" s="1" t="s">
        <v>1361</v>
      </c>
      <c r="AT670" s="2">
        <v>44269.931099537</v>
      </c>
    </row>
    <row r="671" ht="13.5" customHeight="1">
      <c r="A671" s="1"/>
      <c r="B671" s="1" t="s">
        <v>46</v>
      </c>
      <c r="C671" s="1" t="s">
        <v>47</v>
      </c>
      <c r="D671" s="1"/>
      <c r="E671" s="1" t="s">
        <v>3035</v>
      </c>
      <c r="F671" s="1"/>
      <c r="G671" s="1" t="s">
        <v>49</v>
      </c>
      <c r="H671" s="1" t="s">
        <v>50</v>
      </c>
      <c r="I671" s="1">
        <v>13000.0</v>
      </c>
      <c r="J671" s="1"/>
      <c r="K671" s="1" t="s">
        <v>51</v>
      </c>
      <c r="L671" s="1"/>
      <c r="M671" s="1" t="s">
        <v>2381</v>
      </c>
      <c r="N671" s="1" t="s">
        <v>977</v>
      </c>
      <c r="O671" s="1" t="s">
        <v>978</v>
      </c>
      <c r="P671" s="2">
        <v>43803.7113888889</v>
      </c>
      <c r="Q671" s="1" t="s">
        <v>74</v>
      </c>
      <c r="R671" s="1"/>
      <c r="S671" s="1"/>
      <c r="T671" s="1">
        <v>3530607.0</v>
      </c>
      <c r="U671" s="1" t="s">
        <v>85</v>
      </c>
      <c r="V671" s="1" t="s">
        <v>58</v>
      </c>
      <c r="W671" s="1" t="s">
        <v>59</v>
      </c>
      <c r="X671" s="1"/>
      <c r="Y671" s="1"/>
      <c r="Z671" s="1" t="s">
        <v>980</v>
      </c>
      <c r="AA671" s="1" t="s">
        <v>3036</v>
      </c>
      <c r="AB671" s="1" t="str">
        <f>"09322643000126"</f>
        <v>09322643000126</v>
      </c>
      <c r="AC671" s="1"/>
      <c r="AD671" s="1" t="s">
        <v>149</v>
      </c>
      <c r="AE671" s="1"/>
      <c r="AF671" s="1">
        <v>-46.189724</v>
      </c>
      <c r="AG671" s="1">
        <v>-23.611389</v>
      </c>
      <c r="AH671" s="1" t="s">
        <v>982</v>
      </c>
      <c r="AI671" s="1"/>
      <c r="AJ671" s="1" t="s">
        <v>172</v>
      </c>
      <c r="AK671" s="1"/>
      <c r="AL671" s="1"/>
      <c r="AM671" s="1" t="s">
        <v>65</v>
      </c>
      <c r="AN671" s="1" t="s">
        <v>983</v>
      </c>
      <c r="AO671" s="1"/>
      <c r="AP671" s="2">
        <v>44008.7416550926</v>
      </c>
      <c r="AQ671" s="1"/>
      <c r="AR671" s="1" t="s">
        <v>984</v>
      </c>
      <c r="AS671" s="1" t="s">
        <v>2383</v>
      </c>
      <c r="AT671" s="2">
        <v>44269.931099537</v>
      </c>
    </row>
    <row r="672" ht="13.5" customHeight="1">
      <c r="A672" s="1">
        <v>2042403.0</v>
      </c>
      <c r="B672" s="1" t="s">
        <v>67</v>
      </c>
      <c r="C672" s="1" t="s">
        <v>68</v>
      </c>
      <c r="D672" s="1" t="s">
        <v>46</v>
      </c>
      <c r="E672" s="1" t="s">
        <v>3037</v>
      </c>
      <c r="F672" s="1"/>
      <c r="G672" s="1" t="s">
        <v>70</v>
      </c>
      <c r="H672" s="1" t="s">
        <v>93</v>
      </c>
      <c r="I672" s="1">
        <v>46000.0</v>
      </c>
      <c r="J672" s="1"/>
      <c r="K672" s="1"/>
      <c r="L672" s="1" t="s">
        <v>628</v>
      </c>
      <c r="M672" s="1" t="s">
        <v>3038</v>
      </c>
      <c r="N672" s="1" t="s">
        <v>142</v>
      </c>
      <c r="O672" s="1" t="s">
        <v>143</v>
      </c>
      <c r="P672" s="2">
        <v>43803.7083333333</v>
      </c>
      <c r="Q672" s="1" t="s">
        <v>373</v>
      </c>
      <c r="R672" s="3">
        <v>43803.0</v>
      </c>
      <c r="S672" s="1"/>
      <c r="T672" s="1">
        <v>2911907.0</v>
      </c>
      <c r="U672" s="1" t="s">
        <v>3039</v>
      </c>
      <c r="V672" s="1" t="s">
        <v>632</v>
      </c>
      <c r="W672" s="1" t="s">
        <v>113</v>
      </c>
      <c r="X672" s="1"/>
      <c r="Y672" s="1"/>
      <c r="Z672" s="1" t="s">
        <v>147</v>
      </c>
      <c r="AA672" s="1" t="s">
        <v>3040</v>
      </c>
      <c r="AB672" s="1" t="str">
        <f>"22882384000156"</f>
        <v>22882384000156</v>
      </c>
      <c r="AC672" s="1"/>
      <c r="AD672" s="1"/>
      <c r="AE672" s="1"/>
      <c r="AF672" s="1">
        <v>-40.396667</v>
      </c>
      <c r="AG672" s="1">
        <v>-12.899166</v>
      </c>
      <c r="AH672" s="1" t="s">
        <v>3041</v>
      </c>
      <c r="AI672" s="1"/>
      <c r="AJ672" s="1" t="s">
        <v>628</v>
      </c>
      <c r="AK672" s="1"/>
      <c r="AL672" s="1" t="s">
        <v>79</v>
      </c>
      <c r="AM672" s="1" t="s">
        <v>65</v>
      </c>
      <c r="AN672" s="1" t="s">
        <v>152</v>
      </c>
      <c r="AO672" s="2">
        <v>44195.0</v>
      </c>
      <c r="AP672" s="2">
        <v>44195.6485532408</v>
      </c>
      <c r="AQ672" s="1" t="s">
        <v>80</v>
      </c>
      <c r="AR672" s="1" t="s">
        <v>2065</v>
      </c>
      <c r="AS672" s="1"/>
      <c r="AT672" s="2">
        <v>44269.931099537</v>
      </c>
    </row>
    <row r="673" ht="13.5" customHeight="1">
      <c r="A673" s="1">
        <v>2044093.0</v>
      </c>
      <c r="B673" s="1" t="s">
        <v>67</v>
      </c>
      <c r="C673" s="1" t="s">
        <v>68</v>
      </c>
      <c r="D673" s="1" t="s">
        <v>46</v>
      </c>
      <c r="E673" s="1" t="s">
        <v>3042</v>
      </c>
      <c r="F673" s="1"/>
      <c r="G673" s="1" t="s">
        <v>70</v>
      </c>
      <c r="H673" s="1" t="s">
        <v>50</v>
      </c>
      <c r="I673" s="1">
        <v>105000.0</v>
      </c>
      <c r="J673" s="1"/>
      <c r="K673" s="1"/>
      <c r="L673" s="1" t="s">
        <v>65</v>
      </c>
      <c r="M673" s="1" t="s">
        <v>2381</v>
      </c>
      <c r="N673" s="1" t="s">
        <v>283</v>
      </c>
      <c r="O673" s="1" t="s">
        <v>978</v>
      </c>
      <c r="P673" s="2">
        <v>43803.7083333333</v>
      </c>
      <c r="Q673" s="1" t="s">
        <v>74</v>
      </c>
      <c r="R673" s="1"/>
      <c r="S673" s="1"/>
      <c r="T673" s="1">
        <v>3505708.0</v>
      </c>
      <c r="U673" s="1" t="s">
        <v>1048</v>
      </c>
      <c r="V673" s="1" t="s">
        <v>58</v>
      </c>
      <c r="W673" s="1" t="s">
        <v>59</v>
      </c>
      <c r="X673" s="1"/>
      <c r="Y673" s="1" t="str">
        <f>"02001036457201996"</f>
        <v>02001036457201996</v>
      </c>
      <c r="Z673" s="1" t="s">
        <v>980</v>
      </c>
      <c r="AA673" s="1" t="s">
        <v>3043</v>
      </c>
      <c r="AB673" s="1" t="str">
        <f>"43457290000100"</f>
        <v>43457290000100</v>
      </c>
      <c r="AC673" s="1"/>
      <c r="AD673" s="1" t="s">
        <v>116</v>
      </c>
      <c r="AE673" s="1"/>
      <c r="AF673" s="1">
        <v>-47.142778</v>
      </c>
      <c r="AG673" s="1">
        <v>-22.980556</v>
      </c>
      <c r="AH673" s="1" t="s">
        <v>982</v>
      </c>
      <c r="AI673" s="1"/>
      <c r="AJ673" s="1" t="s">
        <v>172</v>
      </c>
      <c r="AK673" s="1" t="s">
        <v>983</v>
      </c>
      <c r="AL673" s="1" t="s">
        <v>79</v>
      </c>
      <c r="AM673" s="1" t="s">
        <v>65</v>
      </c>
      <c r="AN673" s="1" t="s">
        <v>983</v>
      </c>
      <c r="AO673" s="2">
        <v>44260.0</v>
      </c>
      <c r="AP673" s="2">
        <v>44260.8394907407</v>
      </c>
      <c r="AQ673" s="1" t="s">
        <v>80</v>
      </c>
      <c r="AR673" s="1" t="s">
        <v>3044</v>
      </c>
      <c r="AS673" s="1" t="s">
        <v>2412</v>
      </c>
      <c r="AT673" s="2">
        <v>44269.931099537</v>
      </c>
    </row>
    <row r="674" ht="13.5" customHeight="1">
      <c r="A674" s="1"/>
      <c r="B674" s="1" t="s">
        <v>46</v>
      </c>
      <c r="C674" s="1" t="s">
        <v>47</v>
      </c>
      <c r="D674" s="1"/>
      <c r="E674" s="1" t="s">
        <v>3045</v>
      </c>
      <c r="F674" s="1"/>
      <c r="G674" s="1" t="s">
        <v>49</v>
      </c>
      <c r="H674" s="1" t="s">
        <v>93</v>
      </c>
      <c r="I674" s="1">
        <v>8116.2</v>
      </c>
      <c r="J674" s="1"/>
      <c r="K674" s="1"/>
      <c r="L674" s="1"/>
      <c r="M674" s="1" t="s">
        <v>3046</v>
      </c>
      <c r="N674" s="1" t="s">
        <v>142</v>
      </c>
      <c r="O674" s="1" t="s">
        <v>143</v>
      </c>
      <c r="P674" s="2">
        <v>43803.6995717593</v>
      </c>
      <c r="Q674" s="1" t="s">
        <v>373</v>
      </c>
      <c r="R674" s="1"/>
      <c r="S674" s="1"/>
      <c r="T674" s="1">
        <v>2211308.0</v>
      </c>
      <c r="U674" s="1" t="s">
        <v>3019</v>
      </c>
      <c r="V674" s="1" t="s">
        <v>895</v>
      </c>
      <c r="W674" s="1" t="s">
        <v>113</v>
      </c>
      <c r="X674" s="1"/>
      <c r="Y674" s="1"/>
      <c r="Z674" s="1" t="s">
        <v>147</v>
      </c>
      <c r="AA674" s="1" t="s">
        <v>3020</v>
      </c>
      <c r="AB674" s="1" t="str">
        <f>"***845968**"</f>
        <v>***845968**</v>
      </c>
      <c r="AC674" s="1"/>
      <c r="AD674" s="1" t="s">
        <v>149</v>
      </c>
      <c r="AE674" s="1"/>
      <c r="AF674" s="1">
        <v>-41.776943</v>
      </c>
      <c r="AG674" s="1">
        <v>-6.371944</v>
      </c>
      <c r="AH674" s="1" t="s">
        <v>3047</v>
      </c>
      <c r="AI674" s="1"/>
      <c r="AJ674" s="1" t="s">
        <v>898</v>
      </c>
      <c r="AK674" s="1"/>
      <c r="AL674" s="1"/>
      <c r="AM674" s="1" t="s">
        <v>65</v>
      </c>
      <c r="AN674" s="1" t="s">
        <v>1781</v>
      </c>
      <c r="AO674" s="1"/>
      <c r="AP674" s="2">
        <v>43803.7216203704</v>
      </c>
      <c r="AQ674" s="1"/>
      <c r="AR674" s="1" t="s">
        <v>280</v>
      </c>
      <c r="AS674" s="1"/>
      <c r="AT674" s="2">
        <v>44269.931099537</v>
      </c>
    </row>
    <row r="675" ht="13.5" customHeight="1">
      <c r="A675" s="1"/>
      <c r="B675" s="1" t="s">
        <v>46</v>
      </c>
      <c r="C675" s="1" t="s">
        <v>47</v>
      </c>
      <c r="D675" s="1"/>
      <c r="E675" s="1" t="s">
        <v>3048</v>
      </c>
      <c r="F675" s="1"/>
      <c r="G675" s="1" t="s">
        <v>49</v>
      </c>
      <c r="H675" s="1" t="s">
        <v>93</v>
      </c>
      <c r="I675" s="1">
        <v>405000.0</v>
      </c>
      <c r="J675" s="1"/>
      <c r="K675" s="1" t="s">
        <v>51</v>
      </c>
      <c r="L675" s="1"/>
      <c r="M675" s="1" t="s">
        <v>3049</v>
      </c>
      <c r="N675" s="1" t="s">
        <v>977</v>
      </c>
      <c r="O675" s="1" t="s">
        <v>978</v>
      </c>
      <c r="P675" s="2">
        <v>43803.697337963</v>
      </c>
      <c r="Q675" s="1" t="s">
        <v>74</v>
      </c>
      <c r="R675" s="1"/>
      <c r="S675" s="1"/>
      <c r="T675" s="1">
        <v>3304557.0</v>
      </c>
      <c r="U675" s="1" t="s">
        <v>286</v>
      </c>
      <c r="V675" s="1" t="s">
        <v>287</v>
      </c>
      <c r="W675" s="1" t="s">
        <v>59</v>
      </c>
      <c r="X675" s="1"/>
      <c r="Y675" s="1"/>
      <c r="Z675" s="1" t="s">
        <v>980</v>
      </c>
      <c r="AA675" s="1" t="s">
        <v>3050</v>
      </c>
      <c r="AB675" s="1" t="str">
        <f>"33194978000190"</f>
        <v>33194978000190</v>
      </c>
      <c r="AC675" s="1"/>
      <c r="AD675" s="1" t="s">
        <v>149</v>
      </c>
      <c r="AE675" s="1"/>
      <c r="AF675" s="1">
        <v>-43.209724</v>
      </c>
      <c r="AG675" s="1">
        <v>-22.90361</v>
      </c>
      <c r="AH675" s="1" t="s">
        <v>3050</v>
      </c>
      <c r="AI675" s="1"/>
      <c r="AJ675" s="1" t="s">
        <v>172</v>
      </c>
      <c r="AK675" s="1"/>
      <c r="AL675" s="1"/>
      <c r="AM675" s="1" t="s">
        <v>65</v>
      </c>
      <c r="AN675" s="1" t="s">
        <v>983</v>
      </c>
      <c r="AO675" s="1"/>
      <c r="AP675" s="2">
        <v>43992.5402083333</v>
      </c>
      <c r="AQ675" s="1"/>
      <c r="AR675" s="1" t="s">
        <v>984</v>
      </c>
      <c r="AS675" s="1" t="s">
        <v>3051</v>
      </c>
      <c r="AT675" s="2">
        <v>44269.931099537</v>
      </c>
    </row>
    <row r="676" ht="13.5" customHeight="1">
      <c r="A676" s="1"/>
      <c r="B676" s="1" t="s">
        <v>46</v>
      </c>
      <c r="C676" s="1" t="s">
        <v>47</v>
      </c>
      <c r="D676" s="1"/>
      <c r="E676" s="1" t="s">
        <v>3052</v>
      </c>
      <c r="F676" s="1"/>
      <c r="G676" s="1" t="s">
        <v>49</v>
      </c>
      <c r="H676" s="1" t="s">
        <v>50</v>
      </c>
      <c r="I676" s="1">
        <v>105000.0</v>
      </c>
      <c r="J676" s="1"/>
      <c r="K676" s="1" t="s">
        <v>51</v>
      </c>
      <c r="L676" s="1"/>
      <c r="M676" s="1" t="s">
        <v>2381</v>
      </c>
      <c r="N676" s="1" t="s">
        <v>977</v>
      </c>
      <c r="O676" s="1" t="s">
        <v>978</v>
      </c>
      <c r="P676" s="2">
        <v>43803.6756597222</v>
      </c>
      <c r="Q676" s="1" t="s">
        <v>74</v>
      </c>
      <c r="R676" s="1"/>
      <c r="S676" s="1"/>
      <c r="T676" s="1">
        <v>3302403.0</v>
      </c>
      <c r="U676" s="1" t="s">
        <v>1371</v>
      </c>
      <c r="V676" s="1" t="s">
        <v>287</v>
      </c>
      <c r="W676" s="1" t="s">
        <v>288</v>
      </c>
      <c r="X676" s="1"/>
      <c r="Y676" s="1"/>
      <c r="Z676" s="1" t="s">
        <v>980</v>
      </c>
      <c r="AA676" s="1" t="s">
        <v>3053</v>
      </c>
      <c r="AB676" s="1" t="str">
        <f>"19483731000163"</f>
        <v>19483731000163</v>
      </c>
      <c r="AC676" s="1"/>
      <c r="AD676" s="1" t="s">
        <v>149</v>
      </c>
      <c r="AE676" s="1"/>
      <c r="AF676" s="1">
        <v>-41.940277</v>
      </c>
      <c r="AG676" s="1">
        <v>-22.430555</v>
      </c>
      <c r="AH676" s="1" t="s">
        <v>982</v>
      </c>
      <c r="AI676" s="1"/>
      <c r="AJ676" s="1" t="s">
        <v>172</v>
      </c>
      <c r="AK676" s="1"/>
      <c r="AL676" s="1"/>
      <c r="AM676" s="1" t="s">
        <v>65</v>
      </c>
      <c r="AN676" s="1" t="s">
        <v>983</v>
      </c>
      <c r="AO676" s="1"/>
      <c r="AP676" s="2">
        <v>44008.7418981482</v>
      </c>
      <c r="AQ676" s="1"/>
      <c r="AR676" s="1" t="s">
        <v>984</v>
      </c>
      <c r="AS676" s="1" t="s">
        <v>2383</v>
      </c>
      <c r="AT676" s="2">
        <v>44269.931099537</v>
      </c>
    </row>
    <row r="677" ht="13.5" customHeight="1">
      <c r="A677" s="1"/>
      <c r="B677" s="1" t="s">
        <v>46</v>
      </c>
      <c r="C677" s="1" t="s">
        <v>47</v>
      </c>
      <c r="D677" s="1"/>
      <c r="E677" s="1" t="s">
        <v>3054</v>
      </c>
      <c r="F677" s="1"/>
      <c r="G677" s="1" t="s">
        <v>49</v>
      </c>
      <c r="H677" s="1" t="s">
        <v>50</v>
      </c>
      <c r="I677" s="1">
        <v>2505000.0</v>
      </c>
      <c r="J677" s="1"/>
      <c r="K677" s="1" t="s">
        <v>51</v>
      </c>
      <c r="L677" s="1"/>
      <c r="M677" s="1" t="s">
        <v>3055</v>
      </c>
      <c r="N677" s="1" t="s">
        <v>212</v>
      </c>
      <c r="O677" s="1" t="s">
        <v>213</v>
      </c>
      <c r="P677" s="2">
        <v>43803.667037037</v>
      </c>
      <c r="Q677" s="1" t="s">
        <v>74</v>
      </c>
      <c r="R677" s="1"/>
      <c r="S677" s="1"/>
      <c r="T677" s="1">
        <v>5300108.0</v>
      </c>
      <c r="U677" s="1" t="s">
        <v>1541</v>
      </c>
      <c r="V677" s="1" t="s">
        <v>1542</v>
      </c>
      <c r="W677" s="1" t="s">
        <v>59</v>
      </c>
      <c r="X677" s="1"/>
      <c r="Y677" s="1"/>
      <c r="Z677" s="1" t="s">
        <v>215</v>
      </c>
      <c r="AA677" s="1" t="s">
        <v>3056</v>
      </c>
      <c r="AB677" s="1" t="str">
        <f>"20732109000120"</f>
        <v>20732109000120</v>
      </c>
      <c r="AC677" s="1"/>
      <c r="AD677" s="1" t="s">
        <v>149</v>
      </c>
      <c r="AE677" s="1"/>
      <c r="AF677" s="1">
        <v>-47.861942</v>
      </c>
      <c r="AG677" s="1">
        <v>-15.767222</v>
      </c>
      <c r="AH677" s="1" t="s">
        <v>2450</v>
      </c>
      <c r="AI677" s="1"/>
      <c r="AJ677" s="1" t="s">
        <v>172</v>
      </c>
      <c r="AK677" s="1"/>
      <c r="AL677" s="1"/>
      <c r="AM677" s="1" t="s">
        <v>65</v>
      </c>
      <c r="AN677" s="1" t="s">
        <v>720</v>
      </c>
      <c r="AO677" s="1"/>
      <c r="AP677" s="2">
        <v>43803.6775810185</v>
      </c>
      <c r="AQ677" s="1"/>
      <c r="AR677" s="1" t="s">
        <v>984</v>
      </c>
      <c r="AS677" s="1" t="s">
        <v>3057</v>
      </c>
      <c r="AT677" s="2">
        <v>44269.931099537</v>
      </c>
    </row>
    <row r="678" ht="13.5" customHeight="1">
      <c r="A678" s="1">
        <v>2036145.0</v>
      </c>
      <c r="B678" s="1" t="s">
        <v>67</v>
      </c>
      <c r="C678" s="1" t="s">
        <v>68</v>
      </c>
      <c r="D678" s="1" t="s">
        <v>46</v>
      </c>
      <c r="E678" s="1" t="s">
        <v>3058</v>
      </c>
      <c r="F678" s="1"/>
      <c r="G678" s="1" t="s">
        <v>70</v>
      </c>
      <c r="H678" s="1" t="s">
        <v>93</v>
      </c>
      <c r="I678" s="1">
        <v>6500.0</v>
      </c>
      <c r="J678" s="1"/>
      <c r="K678" s="1"/>
      <c r="L678" s="1" t="s">
        <v>172</v>
      </c>
      <c r="M678" s="1" t="s">
        <v>3059</v>
      </c>
      <c r="N678" s="1" t="s">
        <v>95</v>
      </c>
      <c r="O678" s="1" t="s">
        <v>96</v>
      </c>
      <c r="P678" s="2">
        <v>43803.6666666667</v>
      </c>
      <c r="Q678" s="1" t="s">
        <v>373</v>
      </c>
      <c r="R678" s="3">
        <v>43803.0</v>
      </c>
      <c r="S678" s="1"/>
      <c r="T678" s="1">
        <v>2305357.0</v>
      </c>
      <c r="U678" s="1" t="s">
        <v>1439</v>
      </c>
      <c r="V678" s="1" t="s">
        <v>112</v>
      </c>
      <c r="W678" s="1" t="s">
        <v>113</v>
      </c>
      <c r="X678" s="1"/>
      <c r="Y678" s="1" t="str">
        <f>"02001010155202021"</f>
        <v>02001010155202021</v>
      </c>
      <c r="Z678" s="1" t="s">
        <v>98</v>
      </c>
      <c r="AA678" s="1" t="s">
        <v>3060</v>
      </c>
      <c r="AB678" s="1" t="str">
        <f>"***922933**"</f>
        <v>***922933**</v>
      </c>
      <c r="AC678" s="1"/>
      <c r="AD678" s="1"/>
      <c r="AE678" s="1"/>
      <c r="AF678" s="1">
        <v>-39.284721</v>
      </c>
      <c r="AG678" s="1">
        <v>-4.751111</v>
      </c>
      <c r="AH678" s="1" t="s">
        <v>3061</v>
      </c>
      <c r="AI678" s="1"/>
      <c r="AJ678" s="1" t="s">
        <v>172</v>
      </c>
      <c r="AK678" s="1"/>
      <c r="AL678" s="1" t="s">
        <v>79</v>
      </c>
      <c r="AM678" s="1" t="s">
        <v>65</v>
      </c>
      <c r="AN678" s="1" t="s">
        <v>2722</v>
      </c>
      <c r="AO678" s="2">
        <v>43937.0</v>
      </c>
      <c r="AP678" s="2">
        <v>43937.7453587963</v>
      </c>
      <c r="AQ678" s="1" t="s">
        <v>80</v>
      </c>
      <c r="AR678" s="1" t="s">
        <v>3062</v>
      </c>
      <c r="AS678" s="1"/>
      <c r="AT678" s="2">
        <v>44269.931099537</v>
      </c>
    </row>
    <row r="679" ht="13.5" customHeight="1">
      <c r="A679" s="1">
        <v>2038655.0</v>
      </c>
      <c r="B679" s="1" t="s">
        <v>67</v>
      </c>
      <c r="C679" s="1" t="s">
        <v>68</v>
      </c>
      <c r="D679" s="1" t="s">
        <v>46</v>
      </c>
      <c r="E679" s="1" t="s">
        <v>3063</v>
      </c>
      <c r="F679" s="1"/>
      <c r="G679" s="1" t="s">
        <v>70</v>
      </c>
      <c r="H679" s="1" t="s">
        <v>50</v>
      </c>
      <c r="I679" s="1">
        <v>100000.0</v>
      </c>
      <c r="J679" s="1"/>
      <c r="K679" s="1"/>
      <c r="L679" s="1" t="s">
        <v>172</v>
      </c>
      <c r="M679" s="1" t="s">
        <v>3064</v>
      </c>
      <c r="N679" s="1" t="s">
        <v>283</v>
      </c>
      <c r="O679" s="1" t="s">
        <v>1133</v>
      </c>
      <c r="P679" s="2">
        <v>43803.6666666667</v>
      </c>
      <c r="Q679" s="1" t="s">
        <v>74</v>
      </c>
      <c r="R679" s="3">
        <v>43342.0</v>
      </c>
      <c r="S679" s="1"/>
      <c r="T679" s="1">
        <v>3301009.0</v>
      </c>
      <c r="U679" s="1" t="s">
        <v>2985</v>
      </c>
      <c r="V679" s="1" t="s">
        <v>287</v>
      </c>
      <c r="W679" s="1" t="s">
        <v>288</v>
      </c>
      <c r="X679" s="1"/>
      <c r="Y679" s="1" t="str">
        <f>"02001035073201956"</f>
        <v>02001035073201956</v>
      </c>
      <c r="Z679" s="1" t="s">
        <v>128</v>
      </c>
      <c r="AA679" s="1" t="s">
        <v>289</v>
      </c>
      <c r="AB679" s="1" t="str">
        <f>"33000167000101"</f>
        <v>33000167000101</v>
      </c>
      <c r="AC679" s="1"/>
      <c r="AD679" s="1"/>
      <c r="AE679" s="1"/>
      <c r="AF679" s="1">
        <v>-39.8325</v>
      </c>
      <c r="AG679" s="1">
        <v>-21.961945</v>
      </c>
      <c r="AH679" s="1" t="s">
        <v>2855</v>
      </c>
      <c r="AI679" s="1"/>
      <c r="AJ679" s="1" t="s">
        <v>172</v>
      </c>
      <c r="AK679" s="1"/>
      <c r="AL679" s="1" t="s">
        <v>79</v>
      </c>
      <c r="AM679" s="1" t="s">
        <v>65</v>
      </c>
      <c r="AN679" s="1" t="s">
        <v>720</v>
      </c>
      <c r="AO679" s="2">
        <v>44042.0</v>
      </c>
      <c r="AP679" s="2">
        <v>44042.6411574074</v>
      </c>
      <c r="AQ679" s="1" t="s">
        <v>80</v>
      </c>
      <c r="AR679" s="1" t="s">
        <v>1485</v>
      </c>
      <c r="AS679" s="1" t="s">
        <v>1361</v>
      </c>
      <c r="AT679" s="2">
        <v>44269.931099537</v>
      </c>
    </row>
    <row r="680" ht="13.5" customHeight="1">
      <c r="A680" s="1"/>
      <c r="B680" s="1" t="s">
        <v>46</v>
      </c>
      <c r="C680" s="1" t="s">
        <v>47</v>
      </c>
      <c r="D680" s="1"/>
      <c r="E680" s="1" t="s">
        <v>3065</v>
      </c>
      <c r="F680" s="1"/>
      <c r="G680" s="1" t="s">
        <v>49</v>
      </c>
      <c r="H680" s="1" t="s">
        <v>50</v>
      </c>
      <c r="I680" s="1">
        <v>25000.0</v>
      </c>
      <c r="J680" s="1"/>
      <c r="K680" s="1" t="s">
        <v>51</v>
      </c>
      <c r="L680" s="1"/>
      <c r="M680" s="1" t="s">
        <v>2381</v>
      </c>
      <c r="N680" s="1" t="s">
        <v>977</v>
      </c>
      <c r="O680" s="1" t="s">
        <v>978</v>
      </c>
      <c r="P680" s="2">
        <v>43803.6583449074</v>
      </c>
      <c r="Q680" s="1" t="s">
        <v>74</v>
      </c>
      <c r="R680" s="1"/>
      <c r="S680" s="1"/>
      <c r="T680" s="1">
        <v>3509502.0</v>
      </c>
      <c r="U680" s="1" t="s">
        <v>97</v>
      </c>
      <c r="V680" s="1" t="s">
        <v>58</v>
      </c>
      <c r="W680" s="1" t="s">
        <v>59</v>
      </c>
      <c r="X680" s="1"/>
      <c r="Y680" s="1"/>
      <c r="Z680" s="1" t="s">
        <v>980</v>
      </c>
      <c r="AA680" s="1" t="s">
        <v>3066</v>
      </c>
      <c r="AB680" s="1" t="str">
        <f>"55915516000158"</f>
        <v>55915516000158</v>
      </c>
      <c r="AC680" s="1"/>
      <c r="AD680" s="1" t="s">
        <v>149</v>
      </c>
      <c r="AE680" s="1"/>
      <c r="AF680" s="1">
        <v>-47.142776</v>
      </c>
      <c r="AG680" s="1">
        <v>-22.980555</v>
      </c>
      <c r="AH680" s="1" t="s">
        <v>982</v>
      </c>
      <c r="AI680" s="1"/>
      <c r="AJ680" s="1" t="s">
        <v>172</v>
      </c>
      <c r="AK680" s="1"/>
      <c r="AL680" s="1"/>
      <c r="AM680" s="1" t="s">
        <v>65</v>
      </c>
      <c r="AN680" s="1" t="s">
        <v>983</v>
      </c>
      <c r="AO680" s="1"/>
      <c r="AP680" s="2">
        <v>44008.7420023148</v>
      </c>
      <c r="AQ680" s="1"/>
      <c r="AR680" s="1" t="s">
        <v>984</v>
      </c>
      <c r="AS680" s="1" t="s">
        <v>2383</v>
      </c>
      <c r="AT680" s="2">
        <v>44269.931099537</v>
      </c>
    </row>
    <row r="681" ht="13.5" customHeight="1">
      <c r="A681" s="1"/>
      <c r="B681" s="1" t="s">
        <v>46</v>
      </c>
      <c r="C681" s="1" t="s">
        <v>47</v>
      </c>
      <c r="D681" s="1"/>
      <c r="E681" s="1" t="s">
        <v>3067</v>
      </c>
      <c r="F681" s="1"/>
      <c r="G681" s="1" t="s">
        <v>49</v>
      </c>
      <c r="H681" s="1" t="s">
        <v>93</v>
      </c>
      <c r="I681" s="1">
        <v>46500.0</v>
      </c>
      <c r="J681" s="1"/>
      <c r="K681" s="1"/>
      <c r="L681" s="1"/>
      <c r="M681" s="1" t="s">
        <v>3068</v>
      </c>
      <c r="N681" s="1" t="s">
        <v>142</v>
      </c>
      <c r="O681" s="1" t="s">
        <v>143</v>
      </c>
      <c r="P681" s="2">
        <v>43803.6349421296</v>
      </c>
      <c r="Q681" s="1" t="s">
        <v>373</v>
      </c>
      <c r="R681" s="1"/>
      <c r="S681" s="1"/>
      <c r="T681" s="1">
        <v>1100148.0</v>
      </c>
      <c r="U681" s="1" t="s">
        <v>2457</v>
      </c>
      <c r="V681" s="1" t="s">
        <v>448</v>
      </c>
      <c r="W681" s="1" t="s">
        <v>177</v>
      </c>
      <c r="X681" s="1"/>
      <c r="Y681" s="1"/>
      <c r="Z681" s="1" t="s">
        <v>147</v>
      </c>
      <c r="AA681" s="1" t="s">
        <v>3069</v>
      </c>
      <c r="AB681" s="1" t="str">
        <f>"***497322**"</f>
        <v>***497322**</v>
      </c>
      <c r="AC681" s="1"/>
      <c r="AD681" s="1" t="s">
        <v>116</v>
      </c>
      <c r="AE681" s="1"/>
      <c r="AF681" s="1">
        <v>-62.203613</v>
      </c>
      <c r="AG681" s="1">
        <v>-11.653889</v>
      </c>
      <c r="AH681" s="1" t="s">
        <v>3070</v>
      </c>
      <c r="AI681" s="1"/>
      <c r="AJ681" s="1" t="s">
        <v>172</v>
      </c>
      <c r="AK681" s="1"/>
      <c r="AL681" s="1"/>
      <c r="AM681" s="1" t="s">
        <v>65</v>
      </c>
      <c r="AN681" s="1" t="s">
        <v>1395</v>
      </c>
      <c r="AO681" s="1"/>
      <c r="AP681" s="2">
        <v>43803.6580092593</v>
      </c>
      <c r="AQ681" s="1"/>
      <c r="AR681" s="1" t="s">
        <v>644</v>
      </c>
      <c r="AS681" s="1" t="s">
        <v>1864</v>
      </c>
      <c r="AT681" s="2">
        <v>44269.931099537</v>
      </c>
    </row>
    <row r="682" ht="13.5" customHeight="1">
      <c r="A682" s="1"/>
      <c r="B682" s="1" t="s">
        <v>46</v>
      </c>
      <c r="C682" s="1" t="s">
        <v>47</v>
      </c>
      <c r="D682" s="1"/>
      <c r="E682" s="1" t="s">
        <v>3071</v>
      </c>
      <c r="F682" s="1"/>
      <c r="G682" s="1" t="s">
        <v>49</v>
      </c>
      <c r="H682" s="1" t="s">
        <v>93</v>
      </c>
      <c r="I682" s="1">
        <v>61000.0</v>
      </c>
      <c r="J682" s="1"/>
      <c r="K682" s="1" t="s">
        <v>51</v>
      </c>
      <c r="L682" s="1"/>
      <c r="M682" s="1" t="s">
        <v>3072</v>
      </c>
      <c r="N682" s="1" t="s">
        <v>142</v>
      </c>
      <c r="O682" s="1" t="s">
        <v>143</v>
      </c>
      <c r="P682" s="2">
        <v>43803.6339583333</v>
      </c>
      <c r="Q682" s="1" t="s">
        <v>74</v>
      </c>
      <c r="R682" s="3">
        <v>43806.0</v>
      </c>
      <c r="S682" s="1"/>
      <c r="T682" s="1">
        <v>1101492.0</v>
      </c>
      <c r="U682" s="1" t="s">
        <v>2181</v>
      </c>
      <c r="V682" s="1" t="s">
        <v>448</v>
      </c>
      <c r="W682" s="1" t="s">
        <v>177</v>
      </c>
      <c r="X682" s="1"/>
      <c r="Y682" s="1"/>
      <c r="Z682" s="1" t="s">
        <v>147</v>
      </c>
      <c r="AA682" s="1" t="s">
        <v>3073</v>
      </c>
      <c r="AB682" s="1" t="str">
        <f>"***286122**"</f>
        <v>***286122**</v>
      </c>
      <c r="AC682" s="1"/>
      <c r="AD682" s="1" t="s">
        <v>149</v>
      </c>
      <c r="AE682" s="1"/>
      <c r="AF682" s="1">
        <v>-63.654163</v>
      </c>
      <c r="AG682" s="1">
        <v>-12.361945</v>
      </c>
      <c r="AH682" s="1" t="s">
        <v>3074</v>
      </c>
      <c r="AI682" s="1"/>
      <c r="AJ682" s="1" t="s">
        <v>172</v>
      </c>
      <c r="AK682" s="1"/>
      <c r="AL682" s="1"/>
      <c r="AM682" s="1" t="s">
        <v>65</v>
      </c>
      <c r="AN682" s="1" t="s">
        <v>1395</v>
      </c>
      <c r="AO682" s="1"/>
      <c r="AP682" s="2">
        <v>43803.639525463</v>
      </c>
      <c r="AQ682" s="1"/>
      <c r="AR682" s="1" t="s">
        <v>793</v>
      </c>
      <c r="AS682" s="1"/>
      <c r="AT682" s="2">
        <v>44269.931099537</v>
      </c>
    </row>
    <row r="683" ht="13.5" customHeight="1">
      <c r="A683" s="1"/>
      <c r="B683" s="1" t="s">
        <v>46</v>
      </c>
      <c r="C683" s="1" t="s">
        <v>47</v>
      </c>
      <c r="D683" s="1"/>
      <c r="E683" s="1" t="s">
        <v>3075</v>
      </c>
      <c r="F683" s="1"/>
      <c r="G683" s="1" t="s">
        <v>49</v>
      </c>
      <c r="H683" s="1" t="s">
        <v>93</v>
      </c>
      <c r="I683" s="1">
        <v>45000.0</v>
      </c>
      <c r="J683" s="1"/>
      <c r="K683" s="1" t="s">
        <v>51</v>
      </c>
      <c r="L683" s="1"/>
      <c r="M683" s="1" t="s">
        <v>3049</v>
      </c>
      <c r="N683" s="1" t="s">
        <v>977</v>
      </c>
      <c r="O683" s="1" t="s">
        <v>978</v>
      </c>
      <c r="P683" s="2">
        <v>43803.6317361111</v>
      </c>
      <c r="Q683" s="1" t="s">
        <v>74</v>
      </c>
      <c r="R683" s="1"/>
      <c r="S683" s="1"/>
      <c r="T683" s="1">
        <v>4305108.0</v>
      </c>
      <c r="U683" s="1" t="s">
        <v>3076</v>
      </c>
      <c r="V683" s="1" t="s">
        <v>145</v>
      </c>
      <c r="W683" s="1" t="s">
        <v>59</v>
      </c>
      <c r="X683" s="1"/>
      <c r="Y683" s="1"/>
      <c r="Z683" s="1" t="s">
        <v>980</v>
      </c>
      <c r="AA683" s="1" t="s">
        <v>3077</v>
      </c>
      <c r="AB683" s="1" t="str">
        <f>"17828384000138"</f>
        <v>17828384000138</v>
      </c>
      <c r="AC683" s="1"/>
      <c r="AD683" s="1" t="s">
        <v>149</v>
      </c>
      <c r="AE683" s="1"/>
      <c r="AF683" s="1">
        <v>-51.185833</v>
      </c>
      <c r="AG683" s="1">
        <v>-29.221111</v>
      </c>
      <c r="AH683" s="1" t="s">
        <v>3077</v>
      </c>
      <c r="AI683" s="1"/>
      <c r="AJ683" s="1" t="s">
        <v>172</v>
      </c>
      <c r="AK683" s="1"/>
      <c r="AL683" s="1"/>
      <c r="AM683" s="1" t="s">
        <v>65</v>
      </c>
      <c r="AN683" s="1" t="s">
        <v>983</v>
      </c>
      <c r="AO683" s="1"/>
      <c r="AP683" s="2">
        <v>43992.5404976852</v>
      </c>
      <c r="AQ683" s="1"/>
      <c r="AR683" s="1" t="s">
        <v>984</v>
      </c>
      <c r="AS683" s="1" t="s">
        <v>3051</v>
      </c>
      <c r="AT683" s="2">
        <v>44269.931099537</v>
      </c>
    </row>
    <row r="684" ht="13.5" customHeight="1">
      <c r="A684" s="1"/>
      <c r="B684" s="1" t="s">
        <v>46</v>
      </c>
      <c r="C684" s="1" t="s">
        <v>47</v>
      </c>
      <c r="D684" s="1"/>
      <c r="E684" s="1" t="s">
        <v>3078</v>
      </c>
      <c r="F684" s="1"/>
      <c r="G684" s="1" t="s">
        <v>49</v>
      </c>
      <c r="H684" s="1" t="s">
        <v>93</v>
      </c>
      <c r="I684" s="1">
        <v>10000.0</v>
      </c>
      <c r="J684" s="1"/>
      <c r="K684" s="1" t="s">
        <v>51</v>
      </c>
      <c r="L684" s="1"/>
      <c r="M684" s="1" t="s">
        <v>3079</v>
      </c>
      <c r="N684" s="1" t="s">
        <v>142</v>
      </c>
      <c r="O684" s="1" t="s">
        <v>143</v>
      </c>
      <c r="P684" s="2">
        <v>43803.6271875</v>
      </c>
      <c r="Q684" s="1" t="s">
        <v>74</v>
      </c>
      <c r="R684" s="3">
        <v>43803.0</v>
      </c>
      <c r="S684" s="1"/>
      <c r="T684" s="1">
        <v>1101492.0</v>
      </c>
      <c r="U684" s="1" t="s">
        <v>2181</v>
      </c>
      <c r="V684" s="1" t="s">
        <v>448</v>
      </c>
      <c r="W684" s="1" t="s">
        <v>177</v>
      </c>
      <c r="X684" s="1"/>
      <c r="Y684" s="1"/>
      <c r="Z684" s="1" t="s">
        <v>147</v>
      </c>
      <c r="AA684" s="1" t="s">
        <v>3080</v>
      </c>
      <c r="AB684" s="1" t="str">
        <f>"***186707**"</f>
        <v>***186707**</v>
      </c>
      <c r="AC684" s="1"/>
      <c r="AD684" s="1" t="s">
        <v>62</v>
      </c>
      <c r="AE684" s="1"/>
      <c r="AF684" s="1">
        <v>-63.750557</v>
      </c>
      <c r="AG684" s="1">
        <v>-12.121667</v>
      </c>
      <c r="AH684" s="1" t="s">
        <v>3081</v>
      </c>
      <c r="AI684" s="1"/>
      <c r="AJ684" s="1" t="s">
        <v>172</v>
      </c>
      <c r="AK684" s="1"/>
      <c r="AL684" s="1"/>
      <c r="AM684" s="1" t="s">
        <v>65</v>
      </c>
      <c r="AN684" s="1" t="s">
        <v>1395</v>
      </c>
      <c r="AO684" s="1"/>
      <c r="AP684" s="2">
        <v>43803.6383796296</v>
      </c>
      <c r="AQ684" s="1"/>
      <c r="AR684" s="1" t="s">
        <v>793</v>
      </c>
      <c r="AS684" s="1"/>
      <c r="AT684" s="2">
        <v>44269.931099537</v>
      </c>
    </row>
    <row r="685" ht="13.5" customHeight="1">
      <c r="A685" s="1">
        <v>2034844.0</v>
      </c>
      <c r="B685" s="1" t="s">
        <v>67</v>
      </c>
      <c r="C685" s="1" t="s">
        <v>68</v>
      </c>
      <c r="D685" s="1" t="s">
        <v>46</v>
      </c>
      <c r="E685" s="1" t="s">
        <v>3082</v>
      </c>
      <c r="F685" s="1"/>
      <c r="G685" s="1" t="s">
        <v>70</v>
      </c>
      <c r="H685" s="1" t="s">
        <v>50</v>
      </c>
      <c r="I685" s="1">
        <v>20000.0</v>
      </c>
      <c r="J685" s="1"/>
      <c r="K685" s="1"/>
      <c r="L685" s="1" t="s">
        <v>196</v>
      </c>
      <c r="M685" s="1" t="s">
        <v>3083</v>
      </c>
      <c r="N685" s="1" t="s">
        <v>72</v>
      </c>
      <c r="O685" s="1" t="s">
        <v>73</v>
      </c>
      <c r="P685" s="2">
        <v>43803.625</v>
      </c>
      <c r="Q685" s="1" t="s">
        <v>74</v>
      </c>
      <c r="R685" s="3">
        <v>43802.0</v>
      </c>
      <c r="S685" s="1"/>
      <c r="T685" s="1">
        <v>1505809.0</v>
      </c>
      <c r="U685" s="1" t="s">
        <v>3084</v>
      </c>
      <c r="V685" s="1" t="s">
        <v>193</v>
      </c>
      <c r="W685" s="1" t="s">
        <v>177</v>
      </c>
      <c r="X685" s="1"/>
      <c r="Y685" s="1" t="str">
        <f>"02018010491201951"</f>
        <v>02018010491201951</v>
      </c>
      <c r="Z685" s="1" t="s">
        <v>76</v>
      </c>
      <c r="AA685" s="1" t="s">
        <v>3085</v>
      </c>
      <c r="AB685" s="1" t="str">
        <f>"***452372**"</f>
        <v>***452372**</v>
      </c>
      <c r="AC685" s="1"/>
      <c r="AD685" s="1"/>
      <c r="AE685" s="1"/>
      <c r="AF685" s="1">
        <v>-50.832779</v>
      </c>
      <c r="AG685" s="1">
        <v>-3.561111</v>
      </c>
      <c r="AH685" s="1" t="s">
        <v>3086</v>
      </c>
      <c r="AI685" s="1"/>
      <c r="AJ685" s="1" t="s">
        <v>196</v>
      </c>
      <c r="AK685" s="1"/>
      <c r="AL685" s="1" t="s">
        <v>79</v>
      </c>
      <c r="AM685" s="1" t="s">
        <v>65</v>
      </c>
      <c r="AN685" s="1" t="s">
        <v>3087</v>
      </c>
      <c r="AO685" s="2">
        <v>43892.0</v>
      </c>
      <c r="AP685" s="2">
        <v>43892.4623032407</v>
      </c>
      <c r="AQ685" s="1" t="s">
        <v>80</v>
      </c>
      <c r="AR685" s="1" t="s">
        <v>1607</v>
      </c>
      <c r="AS685" s="1"/>
      <c r="AT685" s="2">
        <v>44269.931099537</v>
      </c>
    </row>
    <row r="686" ht="13.5" customHeight="1">
      <c r="A686" s="1">
        <v>2035988.0</v>
      </c>
      <c r="B686" s="1" t="s">
        <v>67</v>
      </c>
      <c r="C686" s="1" t="s">
        <v>68</v>
      </c>
      <c r="D686" s="1" t="s">
        <v>46</v>
      </c>
      <c r="E686" s="1" t="s">
        <v>3088</v>
      </c>
      <c r="F686" s="1"/>
      <c r="G686" s="1" t="s">
        <v>70</v>
      </c>
      <c r="H686" s="1" t="s">
        <v>50</v>
      </c>
      <c r="I686" s="1">
        <v>20000.0</v>
      </c>
      <c r="J686" s="1"/>
      <c r="K686" s="1"/>
      <c r="L686" s="1" t="s">
        <v>172</v>
      </c>
      <c r="M686" s="1" t="s">
        <v>3089</v>
      </c>
      <c r="N686" s="1" t="s">
        <v>72</v>
      </c>
      <c r="O686" s="1" t="s">
        <v>73</v>
      </c>
      <c r="P686" s="2">
        <v>43803.625</v>
      </c>
      <c r="Q686" s="1" t="s">
        <v>74</v>
      </c>
      <c r="R686" s="3">
        <v>43807.0</v>
      </c>
      <c r="S686" s="1"/>
      <c r="T686" s="1">
        <v>1100080.0</v>
      </c>
      <c r="U686" s="1" t="s">
        <v>1392</v>
      </c>
      <c r="V686" s="1" t="s">
        <v>448</v>
      </c>
      <c r="W686" s="1" t="s">
        <v>177</v>
      </c>
      <c r="X686" s="1"/>
      <c r="Y686" s="1" t="str">
        <f>"02001009356202086"</f>
        <v>02001009356202086</v>
      </c>
      <c r="Z686" s="1" t="s">
        <v>76</v>
      </c>
      <c r="AA686" s="1" t="s">
        <v>3090</v>
      </c>
      <c r="AB686" s="1" t="str">
        <f>"***366874**"</f>
        <v>***366874**</v>
      </c>
      <c r="AC686" s="1"/>
      <c r="AD686" s="1"/>
      <c r="AE686" s="1"/>
      <c r="AF686" s="1">
        <v>-64.1175</v>
      </c>
      <c r="AG686" s="1">
        <v>-12.350834</v>
      </c>
      <c r="AH686" s="1" t="s">
        <v>3091</v>
      </c>
      <c r="AI686" s="1"/>
      <c r="AJ686" s="1" t="s">
        <v>172</v>
      </c>
      <c r="AK686" s="1"/>
      <c r="AL686" s="1" t="s">
        <v>79</v>
      </c>
      <c r="AM686" s="1" t="s">
        <v>65</v>
      </c>
      <c r="AN686" s="1" t="s">
        <v>1395</v>
      </c>
      <c r="AO686" s="2">
        <v>43923.0</v>
      </c>
      <c r="AP686" s="2">
        <v>43923.7016087963</v>
      </c>
      <c r="AQ686" s="1" t="s">
        <v>80</v>
      </c>
      <c r="AR686" s="1" t="s">
        <v>1607</v>
      </c>
      <c r="AS686" s="1"/>
      <c r="AT686" s="2">
        <v>44269.931099537</v>
      </c>
    </row>
    <row r="687" ht="13.5" customHeight="1">
      <c r="A687" s="1">
        <v>2039245.0</v>
      </c>
      <c r="B687" s="1" t="s">
        <v>67</v>
      </c>
      <c r="C687" s="1" t="s">
        <v>68</v>
      </c>
      <c r="D687" s="1" t="s">
        <v>46</v>
      </c>
      <c r="E687" s="1" t="s">
        <v>3092</v>
      </c>
      <c r="F687" s="1"/>
      <c r="G687" s="1" t="s">
        <v>70</v>
      </c>
      <c r="H687" s="1" t="s">
        <v>93</v>
      </c>
      <c r="I687" s="1">
        <v>2000.0</v>
      </c>
      <c r="J687" s="1"/>
      <c r="K687" s="1"/>
      <c r="L687" s="1" t="s">
        <v>569</v>
      </c>
      <c r="M687" s="1" t="s">
        <v>3093</v>
      </c>
      <c r="N687" s="1" t="s">
        <v>142</v>
      </c>
      <c r="O687" s="1" t="s">
        <v>143</v>
      </c>
      <c r="P687" s="2">
        <v>43803.625</v>
      </c>
      <c r="Q687" s="1" t="s">
        <v>373</v>
      </c>
      <c r="R687" s="3">
        <v>43803.0</v>
      </c>
      <c r="S687" s="1"/>
      <c r="T687" s="1">
        <v>2805604.0</v>
      </c>
      <c r="U687" s="1" t="s">
        <v>3094</v>
      </c>
      <c r="V687" s="1" t="s">
        <v>566</v>
      </c>
      <c r="W687" s="1" t="s">
        <v>113</v>
      </c>
      <c r="X687" s="1"/>
      <c r="Y687" s="1" t="str">
        <f>"02028001772201902"</f>
        <v>02028001772201902</v>
      </c>
      <c r="Z687" s="1" t="s">
        <v>147</v>
      </c>
      <c r="AA687" s="1" t="s">
        <v>3095</v>
      </c>
      <c r="AB687" s="1" t="str">
        <f>"***977135**"</f>
        <v>***977135**</v>
      </c>
      <c r="AC687" s="1"/>
      <c r="AD687" s="1"/>
      <c r="AE687" s="1"/>
      <c r="AF687" s="1">
        <v>-37.329166</v>
      </c>
      <c r="AG687" s="1">
        <v>-9.978333</v>
      </c>
      <c r="AH687" s="1" t="s">
        <v>3096</v>
      </c>
      <c r="AI687" s="1"/>
      <c r="AJ687" s="1" t="s">
        <v>569</v>
      </c>
      <c r="AK687" s="1"/>
      <c r="AL687" s="1" t="s">
        <v>79</v>
      </c>
      <c r="AM687" s="1" t="s">
        <v>65</v>
      </c>
      <c r="AN687" s="1" t="s">
        <v>643</v>
      </c>
      <c r="AO687" s="2">
        <v>44057.0</v>
      </c>
      <c r="AP687" s="2">
        <v>44057.4864814815</v>
      </c>
      <c r="AQ687" s="1" t="s">
        <v>80</v>
      </c>
      <c r="AR687" s="1" t="s">
        <v>2065</v>
      </c>
      <c r="AS687" s="1"/>
      <c r="AT687" s="2">
        <v>44269.931099537</v>
      </c>
    </row>
    <row r="688" ht="13.5" customHeight="1">
      <c r="A688" s="1"/>
      <c r="B688" s="1" t="s">
        <v>46</v>
      </c>
      <c r="C688" s="1" t="s">
        <v>47</v>
      </c>
      <c r="D688" s="1"/>
      <c r="E688" s="1" t="s">
        <v>3097</v>
      </c>
      <c r="F688" s="1"/>
      <c r="G688" s="1" t="s">
        <v>49</v>
      </c>
      <c r="H688" s="1" t="s">
        <v>93</v>
      </c>
      <c r="I688" s="1">
        <v>20000.0</v>
      </c>
      <c r="J688" s="1"/>
      <c r="K688" s="1" t="s">
        <v>51</v>
      </c>
      <c r="L688" s="1"/>
      <c r="M688" s="1" t="s">
        <v>3098</v>
      </c>
      <c r="N688" s="1" t="s">
        <v>142</v>
      </c>
      <c r="O688" s="1" t="s">
        <v>143</v>
      </c>
      <c r="P688" s="2">
        <v>43803.6123611111</v>
      </c>
      <c r="Q688" s="1" t="s">
        <v>74</v>
      </c>
      <c r="R688" s="1"/>
      <c r="S688" s="1"/>
      <c r="T688" s="1">
        <v>1101492.0</v>
      </c>
      <c r="U688" s="1" t="s">
        <v>2181</v>
      </c>
      <c r="V688" s="1" t="s">
        <v>448</v>
      </c>
      <c r="W688" s="1" t="s">
        <v>177</v>
      </c>
      <c r="X688" s="1"/>
      <c r="Y688" s="1"/>
      <c r="Z688" s="1" t="s">
        <v>147</v>
      </c>
      <c r="AA688" s="1" t="s">
        <v>3099</v>
      </c>
      <c r="AB688" s="1" t="str">
        <f>"***655672**"</f>
        <v>***655672**</v>
      </c>
      <c r="AC688" s="1"/>
      <c r="AD688" s="1" t="s">
        <v>149</v>
      </c>
      <c r="AE688" s="1"/>
      <c r="AF688" s="1">
        <v>-63.683056</v>
      </c>
      <c r="AG688" s="1">
        <v>-12.393055</v>
      </c>
      <c r="AH688" s="1" t="s">
        <v>3100</v>
      </c>
      <c r="AI688" s="1"/>
      <c r="AJ688" s="1" t="s">
        <v>172</v>
      </c>
      <c r="AK688" s="1"/>
      <c r="AL688" s="1"/>
      <c r="AM688" s="1" t="s">
        <v>65</v>
      </c>
      <c r="AN688" s="1" t="s">
        <v>1395</v>
      </c>
      <c r="AO688" s="1"/>
      <c r="AP688" s="2">
        <v>43803.6167939815</v>
      </c>
      <c r="AQ688" s="1"/>
      <c r="AR688" s="1" t="s">
        <v>793</v>
      </c>
      <c r="AS688" s="1"/>
      <c r="AT688" s="2">
        <v>44269.931099537</v>
      </c>
    </row>
    <row r="689" ht="13.5" customHeight="1">
      <c r="A689" s="1">
        <v>2038779.0</v>
      </c>
      <c r="B689" s="1" t="s">
        <v>67</v>
      </c>
      <c r="C689" s="1" t="s">
        <v>68</v>
      </c>
      <c r="D689" s="1" t="s">
        <v>46</v>
      </c>
      <c r="E689" s="1" t="s">
        <v>3101</v>
      </c>
      <c r="F689" s="1"/>
      <c r="G689" s="1" t="s">
        <v>70</v>
      </c>
      <c r="H689" s="1" t="s">
        <v>93</v>
      </c>
      <c r="I689" s="1">
        <v>3900.0</v>
      </c>
      <c r="J689" s="1"/>
      <c r="K689" s="1"/>
      <c r="L689" s="1" t="s">
        <v>587</v>
      </c>
      <c r="M689" s="1" t="s">
        <v>3102</v>
      </c>
      <c r="N689" s="1" t="s">
        <v>142</v>
      </c>
      <c r="O689" s="1" t="s">
        <v>143</v>
      </c>
      <c r="P689" s="2">
        <v>43803.5833333333</v>
      </c>
      <c r="Q689" s="1" t="s">
        <v>373</v>
      </c>
      <c r="R689" s="3">
        <v>43803.0</v>
      </c>
      <c r="S689" s="1"/>
      <c r="T689" s="1">
        <v>3109402.0</v>
      </c>
      <c r="U689" s="1" t="s">
        <v>3103</v>
      </c>
      <c r="V689" s="1" t="s">
        <v>126</v>
      </c>
      <c r="W689" s="1" t="s">
        <v>127</v>
      </c>
      <c r="X689" s="1"/>
      <c r="Y689" s="1" t="str">
        <f>"02566000035202021"</f>
        <v>02566000035202021</v>
      </c>
      <c r="Z689" s="1" t="s">
        <v>147</v>
      </c>
      <c r="AA689" s="1" t="s">
        <v>3104</v>
      </c>
      <c r="AB689" s="1" t="str">
        <f>"***744735**"</f>
        <v>***744735**</v>
      </c>
      <c r="AC689" s="1"/>
      <c r="AD689" s="1"/>
      <c r="AE689" s="1"/>
      <c r="AF689" s="1">
        <v>-45.004166</v>
      </c>
      <c r="AG689" s="1">
        <v>-17.4</v>
      </c>
      <c r="AH689" s="1" t="s">
        <v>3105</v>
      </c>
      <c r="AI689" s="1"/>
      <c r="AJ689" s="1" t="s">
        <v>587</v>
      </c>
      <c r="AK689" s="1"/>
      <c r="AL689" s="1" t="s">
        <v>79</v>
      </c>
      <c r="AM689" s="1" t="s">
        <v>65</v>
      </c>
      <c r="AN689" s="1" t="s">
        <v>592</v>
      </c>
      <c r="AO689" s="2">
        <v>44046.0</v>
      </c>
      <c r="AP689" s="2">
        <v>44046.6106828704</v>
      </c>
      <c r="AQ689" s="1" t="s">
        <v>80</v>
      </c>
      <c r="AR689" s="1" t="s">
        <v>379</v>
      </c>
      <c r="AS689" s="1" t="s">
        <v>3106</v>
      </c>
      <c r="AT689" s="2">
        <v>44269.931099537</v>
      </c>
    </row>
    <row r="690" ht="13.5" customHeight="1">
      <c r="A690" s="1"/>
      <c r="B690" s="1" t="s">
        <v>46</v>
      </c>
      <c r="C690" s="1" t="s">
        <v>47</v>
      </c>
      <c r="D690" s="1"/>
      <c r="E690" s="1" t="s">
        <v>3107</v>
      </c>
      <c r="F690" s="1"/>
      <c r="G690" s="1" t="s">
        <v>49</v>
      </c>
      <c r="H690" s="1" t="s">
        <v>93</v>
      </c>
      <c r="I690" s="1">
        <v>10000.0</v>
      </c>
      <c r="J690" s="1"/>
      <c r="K690" s="1" t="s">
        <v>51</v>
      </c>
      <c r="L690" s="1"/>
      <c r="M690" s="1" t="s">
        <v>3108</v>
      </c>
      <c r="N690" s="1" t="s">
        <v>142</v>
      </c>
      <c r="O690" s="1" t="s">
        <v>143</v>
      </c>
      <c r="P690" s="2">
        <v>43803.5822222222</v>
      </c>
      <c r="Q690" s="1" t="s">
        <v>74</v>
      </c>
      <c r="R690" s="3">
        <v>43806.0</v>
      </c>
      <c r="S690" s="1"/>
      <c r="T690" s="1">
        <v>1101492.0</v>
      </c>
      <c r="U690" s="1" t="s">
        <v>2181</v>
      </c>
      <c r="V690" s="1" t="s">
        <v>448</v>
      </c>
      <c r="W690" s="1" t="s">
        <v>177</v>
      </c>
      <c r="X690" s="1"/>
      <c r="Y690" s="1"/>
      <c r="Z690" s="1" t="s">
        <v>147</v>
      </c>
      <c r="AA690" s="1" t="s">
        <v>3109</v>
      </c>
      <c r="AB690" s="1" t="str">
        <f>"***129747**"</f>
        <v>***129747**</v>
      </c>
      <c r="AC690" s="1"/>
      <c r="AD690" s="1" t="s">
        <v>149</v>
      </c>
      <c r="AE690" s="1"/>
      <c r="AF690" s="1">
        <v>-63.815277</v>
      </c>
      <c r="AG690" s="1">
        <v>-12.150277</v>
      </c>
      <c r="AH690" s="1" t="s">
        <v>3110</v>
      </c>
      <c r="AI690" s="1"/>
      <c r="AJ690" s="1" t="s">
        <v>172</v>
      </c>
      <c r="AK690" s="1"/>
      <c r="AL690" s="1"/>
      <c r="AM690" s="1" t="s">
        <v>65</v>
      </c>
      <c r="AN690" s="1" t="s">
        <v>1395</v>
      </c>
      <c r="AO690" s="1"/>
      <c r="AP690" s="2">
        <v>43803.5872106482</v>
      </c>
      <c r="AQ690" s="1"/>
      <c r="AR690" s="1" t="s">
        <v>793</v>
      </c>
      <c r="AS690" s="1"/>
      <c r="AT690" s="2">
        <v>44269.931099537</v>
      </c>
    </row>
    <row r="691" ht="13.5" customHeight="1">
      <c r="A691" s="1"/>
      <c r="B691" s="1" t="s">
        <v>46</v>
      </c>
      <c r="C691" s="1" t="s">
        <v>47</v>
      </c>
      <c r="D691" s="1"/>
      <c r="E691" s="1" t="s">
        <v>3111</v>
      </c>
      <c r="F691" s="1"/>
      <c r="G691" s="1" t="s">
        <v>49</v>
      </c>
      <c r="H691" s="1" t="s">
        <v>93</v>
      </c>
      <c r="I691" s="1">
        <v>211300.0</v>
      </c>
      <c r="J691" s="1"/>
      <c r="K691" s="1"/>
      <c r="L691" s="1"/>
      <c r="M691" s="1" t="s">
        <v>3112</v>
      </c>
      <c r="N691" s="1" t="s">
        <v>142</v>
      </c>
      <c r="O691" s="1" t="s">
        <v>143</v>
      </c>
      <c r="P691" s="2">
        <v>43803.5817361111</v>
      </c>
      <c r="Q691" s="1" t="s">
        <v>373</v>
      </c>
      <c r="R691" s="1"/>
      <c r="S691" s="1"/>
      <c r="T691" s="1">
        <v>1101492.0</v>
      </c>
      <c r="U691" s="1" t="s">
        <v>2181</v>
      </c>
      <c r="V691" s="1" t="s">
        <v>448</v>
      </c>
      <c r="W691" s="1" t="s">
        <v>177</v>
      </c>
      <c r="X691" s="1"/>
      <c r="Y691" s="1"/>
      <c r="Z691" s="1" t="s">
        <v>147</v>
      </c>
      <c r="AA691" s="1" t="s">
        <v>3113</v>
      </c>
      <c r="AB691" s="1" t="str">
        <f>"***150302**"</f>
        <v>***150302**</v>
      </c>
      <c r="AC691" s="1"/>
      <c r="AD691" s="1" t="s">
        <v>116</v>
      </c>
      <c r="AE691" s="1"/>
      <c r="AF691" s="1">
        <v>-63.733055</v>
      </c>
      <c r="AG691" s="1">
        <v>-12.253612</v>
      </c>
      <c r="AH691" s="1" t="s">
        <v>3114</v>
      </c>
      <c r="AI691" s="1"/>
      <c r="AJ691" s="1" t="s">
        <v>172</v>
      </c>
      <c r="AK691" s="1"/>
      <c r="AL691" s="1"/>
      <c r="AM691" s="1" t="s">
        <v>65</v>
      </c>
      <c r="AN691" s="1" t="s">
        <v>1395</v>
      </c>
      <c r="AO691" s="1"/>
      <c r="AP691" s="2">
        <v>43803.6050925926</v>
      </c>
      <c r="AQ691" s="1"/>
      <c r="AR691" s="1" t="s">
        <v>644</v>
      </c>
      <c r="AS691" s="1" t="s">
        <v>2536</v>
      </c>
      <c r="AT691" s="2">
        <v>44269.931099537</v>
      </c>
    </row>
    <row r="692" ht="13.5" customHeight="1">
      <c r="A692" s="1"/>
      <c r="B692" s="1" t="s">
        <v>46</v>
      </c>
      <c r="C692" s="1" t="s">
        <v>47</v>
      </c>
      <c r="D692" s="1"/>
      <c r="E692" s="1" t="s">
        <v>3115</v>
      </c>
      <c r="F692" s="1"/>
      <c r="G692" s="1" t="s">
        <v>49</v>
      </c>
      <c r="H692" s="1" t="s">
        <v>93</v>
      </c>
      <c r="I692" s="1">
        <v>365000.0</v>
      </c>
      <c r="J692" s="1"/>
      <c r="K692" s="1"/>
      <c r="L692" s="1"/>
      <c r="M692" s="1" t="s">
        <v>3116</v>
      </c>
      <c r="N692" s="1" t="s">
        <v>142</v>
      </c>
      <c r="O692" s="1" t="s">
        <v>143</v>
      </c>
      <c r="P692" s="2">
        <v>43803.5769444444</v>
      </c>
      <c r="Q692" s="1" t="s">
        <v>373</v>
      </c>
      <c r="R692" s="1"/>
      <c r="S692" s="1"/>
      <c r="T692" s="1">
        <v>1504752.0</v>
      </c>
      <c r="U692" s="1" t="s">
        <v>2043</v>
      </c>
      <c r="V692" s="1" t="s">
        <v>193</v>
      </c>
      <c r="W692" s="1" t="s">
        <v>177</v>
      </c>
      <c r="X692" s="1"/>
      <c r="Y692" s="1"/>
      <c r="Z692" s="1" t="s">
        <v>147</v>
      </c>
      <c r="AA692" s="1" t="s">
        <v>3117</v>
      </c>
      <c r="AB692" s="1" t="str">
        <f>"***329841**"</f>
        <v>***329841**</v>
      </c>
      <c r="AC692" s="1"/>
      <c r="AD692" s="1" t="s">
        <v>116</v>
      </c>
      <c r="AE692" s="1"/>
      <c r="AF692" s="1">
        <v>-54.611942</v>
      </c>
      <c r="AG692" s="1">
        <v>-2.803611</v>
      </c>
      <c r="AH692" s="1" t="s">
        <v>3118</v>
      </c>
      <c r="AI692" s="1"/>
      <c r="AJ692" s="1" t="s">
        <v>172</v>
      </c>
      <c r="AK692" s="1"/>
      <c r="AL692" s="1"/>
      <c r="AM692" s="1" t="s">
        <v>65</v>
      </c>
      <c r="AN692" s="1" t="s">
        <v>1395</v>
      </c>
      <c r="AO692" s="1"/>
      <c r="AP692" s="2">
        <v>43803.5958101852</v>
      </c>
      <c r="AQ692" s="1"/>
      <c r="AR692" s="1" t="s">
        <v>169</v>
      </c>
      <c r="AS692" s="1" t="s">
        <v>3119</v>
      </c>
      <c r="AT692" s="2">
        <v>44269.931099537</v>
      </c>
    </row>
    <row r="693" ht="13.5" customHeight="1">
      <c r="A693" s="1"/>
      <c r="B693" s="1" t="s">
        <v>46</v>
      </c>
      <c r="C693" s="1" t="s">
        <v>47</v>
      </c>
      <c r="D693" s="1"/>
      <c r="E693" s="1" t="s">
        <v>3120</v>
      </c>
      <c r="F693" s="1"/>
      <c r="G693" s="1" t="s">
        <v>49</v>
      </c>
      <c r="H693" s="1" t="s">
        <v>93</v>
      </c>
      <c r="I693" s="1">
        <v>15000.0</v>
      </c>
      <c r="J693" s="1"/>
      <c r="K693" s="1" t="s">
        <v>51</v>
      </c>
      <c r="L693" s="1"/>
      <c r="M693" s="1" t="s">
        <v>2670</v>
      </c>
      <c r="N693" s="1" t="s">
        <v>977</v>
      </c>
      <c r="O693" s="1" t="s">
        <v>978</v>
      </c>
      <c r="P693" s="2">
        <v>43803.5747685185</v>
      </c>
      <c r="Q693" s="1" t="s">
        <v>74</v>
      </c>
      <c r="R693" s="1"/>
      <c r="S693" s="1"/>
      <c r="T693" s="1">
        <v>3550308.0</v>
      </c>
      <c r="U693" s="1" t="s">
        <v>607</v>
      </c>
      <c r="V693" s="1" t="s">
        <v>58</v>
      </c>
      <c r="W693" s="1" t="s">
        <v>59</v>
      </c>
      <c r="X693" s="1"/>
      <c r="Y693" s="1"/>
      <c r="Z693" s="1" t="s">
        <v>980</v>
      </c>
      <c r="AA693" s="1" t="s">
        <v>3121</v>
      </c>
      <c r="AB693" s="1" t="str">
        <f>"14122356000102"</f>
        <v>14122356000102</v>
      </c>
      <c r="AC693" s="1"/>
      <c r="AD693" s="1" t="s">
        <v>149</v>
      </c>
      <c r="AE693" s="1"/>
      <c r="AF693" s="1">
        <v>-46.709724</v>
      </c>
      <c r="AG693" s="1">
        <v>-23.74361</v>
      </c>
      <c r="AH693" s="1" t="s">
        <v>3122</v>
      </c>
      <c r="AI693" s="1"/>
      <c r="AJ693" s="1" t="s">
        <v>172</v>
      </c>
      <c r="AK693" s="1"/>
      <c r="AL693" s="1"/>
      <c r="AM693" s="1" t="s">
        <v>65</v>
      </c>
      <c r="AN693" s="1" t="s">
        <v>983</v>
      </c>
      <c r="AO693" s="1"/>
      <c r="AP693" s="2">
        <v>43992.5407523148</v>
      </c>
      <c r="AQ693" s="1"/>
      <c r="AR693" s="1" t="s">
        <v>984</v>
      </c>
      <c r="AS693" s="1" t="s">
        <v>3051</v>
      </c>
      <c r="AT693" s="2">
        <v>44269.931099537</v>
      </c>
    </row>
    <row r="694" ht="13.5" customHeight="1">
      <c r="A694" s="1"/>
      <c r="B694" s="1" t="s">
        <v>46</v>
      </c>
      <c r="C694" s="1" t="s">
        <v>47</v>
      </c>
      <c r="D694" s="1"/>
      <c r="E694" s="1" t="s">
        <v>3123</v>
      </c>
      <c r="F694" s="1"/>
      <c r="G694" s="1" t="s">
        <v>49</v>
      </c>
      <c r="H694" s="1" t="s">
        <v>93</v>
      </c>
      <c r="I694" s="1">
        <v>20000.0</v>
      </c>
      <c r="J694" s="1"/>
      <c r="K694" s="1" t="s">
        <v>51</v>
      </c>
      <c r="L694" s="1"/>
      <c r="M694" s="1" t="s">
        <v>3124</v>
      </c>
      <c r="N694" s="1" t="s">
        <v>72</v>
      </c>
      <c r="O694" s="1" t="s">
        <v>1364</v>
      </c>
      <c r="P694" s="2">
        <v>43803.5720023148</v>
      </c>
      <c r="Q694" s="1" t="s">
        <v>74</v>
      </c>
      <c r="R694" s="3">
        <v>43803.0</v>
      </c>
      <c r="S694" s="1"/>
      <c r="T694" s="1">
        <v>1101492.0</v>
      </c>
      <c r="U694" s="1" t="s">
        <v>2181</v>
      </c>
      <c r="V694" s="1" t="s">
        <v>448</v>
      </c>
      <c r="W694" s="1" t="s">
        <v>177</v>
      </c>
      <c r="X694" s="1"/>
      <c r="Y694" s="1"/>
      <c r="Z694" s="1"/>
      <c r="AA694" s="1" t="s">
        <v>3125</v>
      </c>
      <c r="AB694" s="1" t="str">
        <f>"***303222**"</f>
        <v>***303222**</v>
      </c>
      <c r="AC694" s="1"/>
      <c r="AD694" s="1" t="s">
        <v>62</v>
      </c>
      <c r="AE694" s="1"/>
      <c r="AF694" s="1">
        <v>-63.796665</v>
      </c>
      <c r="AG694" s="1">
        <v>-12.102222</v>
      </c>
      <c r="AH694" s="1" t="s">
        <v>3126</v>
      </c>
      <c r="AI694" s="1"/>
      <c r="AJ694" s="1" t="s">
        <v>172</v>
      </c>
      <c r="AK694" s="1"/>
      <c r="AL694" s="1"/>
      <c r="AM694" s="1" t="s">
        <v>65</v>
      </c>
      <c r="AN694" s="1" t="s">
        <v>1395</v>
      </c>
      <c r="AO694" s="1"/>
      <c r="AP694" s="2">
        <v>43803.5890162037</v>
      </c>
      <c r="AQ694" s="1"/>
      <c r="AR694" s="1" t="s">
        <v>793</v>
      </c>
      <c r="AS694" s="1"/>
      <c r="AT694" s="2">
        <v>44269.931099537</v>
      </c>
    </row>
    <row r="695" ht="13.5" customHeight="1">
      <c r="A695" s="1"/>
      <c r="B695" s="1" t="s">
        <v>46</v>
      </c>
      <c r="C695" s="1" t="s">
        <v>47</v>
      </c>
      <c r="D695" s="1"/>
      <c r="E695" s="1" t="s">
        <v>3127</v>
      </c>
      <c r="F695" s="1"/>
      <c r="G695" s="1" t="s">
        <v>49</v>
      </c>
      <c r="H695" s="1" t="s">
        <v>93</v>
      </c>
      <c r="I695" s="1">
        <v>70000.0</v>
      </c>
      <c r="J695" s="1"/>
      <c r="K695" s="1"/>
      <c r="L695" s="1"/>
      <c r="M695" s="1" t="s">
        <v>3128</v>
      </c>
      <c r="N695" s="1" t="s">
        <v>142</v>
      </c>
      <c r="O695" s="1" t="s">
        <v>143</v>
      </c>
      <c r="P695" s="2">
        <v>43803.5602199074</v>
      </c>
      <c r="Q695" s="1" t="s">
        <v>55</v>
      </c>
      <c r="R695" s="1"/>
      <c r="S695" s="1"/>
      <c r="T695" s="1">
        <v>5106158.0</v>
      </c>
      <c r="U695" s="1" t="s">
        <v>1700</v>
      </c>
      <c r="V695" s="1" t="s">
        <v>164</v>
      </c>
      <c r="W695" s="1" t="s">
        <v>177</v>
      </c>
      <c r="X695" s="1"/>
      <c r="Y695" s="1"/>
      <c r="Z695" s="1" t="s">
        <v>147</v>
      </c>
      <c r="AA695" s="1" t="s">
        <v>3129</v>
      </c>
      <c r="AB695" s="1" t="str">
        <f>"***527789**"</f>
        <v>***527789**</v>
      </c>
      <c r="AC695" s="1"/>
      <c r="AD695" s="1" t="s">
        <v>116</v>
      </c>
      <c r="AE695" s="1"/>
      <c r="AF695" s="1">
        <v>-58.20639</v>
      </c>
      <c r="AG695" s="1">
        <v>-10.433888</v>
      </c>
      <c r="AH695" s="1" t="s">
        <v>3130</v>
      </c>
      <c r="AI695" s="1"/>
      <c r="AJ695" s="1" t="s">
        <v>172</v>
      </c>
      <c r="AK695" s="1"/>
      <c r="AL695" s="1"/>
      <c r="AM695" s="1" t="s">
        <v>65</v>
      </c>
      <c r="AN695" s="1" t="s">
        <v>1703</v>
      </c>
      <c r="AO695" s="1"/>
      <c r="AP695" s="2">
        <v>44018.8745833333</v>
      </c>
      <c r="AQ695" s="1"/>
      <c r="AR695" s="1" t="s">
        <v>871</v>
      </c>
      <c r="AS695" s="1"/>
      <c r="AT695" s="2">
        <v>44269.931099537</v>
      </c>
    </row>
    <row r="696" ht="13.5" customHeight="1">
      <c r="A696" s="1"/>
      <c r="B696" s="1" t="s">
        <v>46</v>
      </c>
      <c r="C696" s="1" t="s">
        <v>47</v>
      </c>
      <c r="D696" s="1"/>
      <c r="E696" s="1" t="s">
        <v>3131</v>
      </c>
      <c r="F696" s="1"/>
      <c r="G696" s="1" t="s">
        <v>49</v>
      </c>
      <c r="H696" s="1" t="s">
        <v>93</v>
      </c>
      <c r="I696" s="1">
        <v>121100.0</v>
      </c>
      <c r="J696" s="1"/>
      <c r="K696" s="1"/>
      <c r="L696" s="1"/>
      <c r="M696" s="1" t="s">
        <v>3132</v>
      </c>
      <c r="N696" s="1" t="s">
        <v>142</v>
      </c>
      <c r="O696" s="1" t="s">
        <v>143</v>
      </c>
      <c r="P696" s="2">
        <v>43803.5369791667</v>
      </c>
      <c r="Q696" s="1" t="s">
        <v>373</v>
      </c>
      <c r="R696" s="1"/>
      <c r="S696" s="1"/>
      <c r="T696" s="1">
        <v>5106158.0</v>
      </c>
      <c r="U696" s="1" t="s">
        <v>1700</v>
      </c>
      <c r="V696" s="1" t="s">
        <v>164</v>
      </c>
      <c r="W696" s="1" t="s">
        <v>177</v>
      </c>
      <c r="X696" s="1"/>
      <c r="Y696" s="1"/>
      <c r="Z696" s="1" t="s">
        <v>147</v>
      </c>
      <c r="AA696" s="1" t="s">
        <v>3133</v>
      </c>
      <c r="AB696" s="1" t="str">
        <f>"***216851**"</f>
        <v>***216851**</v>
      </c>
      <c r="AC696" s="1"/>
      <c r="AD696" s="1" t="s">
        <v>116</v>
      </c>
      <c r="AE696" s="1"/>
      <c r="AF696" s="1">
        <v>-58.145557</v>
      </c>
      <c r="AG696" s="1">
        <v>-10.345833</v>
      </c>
      <c r="AH696" s="1" t="s">
        <v>3134</v>
      </c>
      <c r="AI696" s="1"/>
      <c r="AJ696" s="1" t="s">
        <v>172</v>
      </c>
      <c r="AK696" s="1"/>
      <c r="AL696" s="1"/>
      <c r="AM696" s="1" t="s">
        <v>65</v>
      </c>
      <c r="AN696" s="1" t="s">
        <v>1703</v>
      </c>
      <c r="AO696" s="1"/>
      <c r="AP696" s="2">
        <v>43803.546712963</v>
      </c>
      <c r="AQ696" s="1"/>
      <c r="AR696" s="1" t="s">
        <v>871</v>
      </c>
      <c r="AS696" s="1"/>
      <c r="AT696" s="2">
        <v>44269.931099537</v>
      </c>
    </row>
    <row r="697" ht="13.5" customHeight="1">
      <c r="A697" s="1"/>
      <c r="B697" s="1" t="s">
        <v>46</v>
      </c>
      <c r="C697" s="1" t="s">
        <v>47</v>
      </c>
      <c r="D697" s="1"/>
      <c r="E697" s="1" t="s">
        <v>3135</v>
      </c>
      <c r="F697" s="1"/>
      <c r="G697" s="1" t="s">
        <v>49</v>
      </c>
      <c r="H697" s="1" t="s">
        <v>50</v>
      </c>
      <c r="I697" s="1">
        <v>10000.0</v>
      </c>
      <c r="J697" s="1"/>
      <c r="K697" s="1" t="s">
        <v>51</v>
      </c>
      <c r="L697" s="1"/>
      <c r="M697" s="1" t="s">
        <v>3136</v>
      </c>
      <c r="N697" s="1" t="s">
        <v>142</v>
      </c>
      <c r="O697" s="1" t="s">
        <v>143</v>
      </c>
      <c r="P697" s="2">
        <v>43803.5336574074</v>
      </c>
      <c r="Q697" s="1" t="s">
        <v>373</v>
      </c>
      <c r="R697" s="1"/>
      <c r="S697" s="1"/>
      <c r="T697" s="1">
        <v>1101492.0</v>
      </c>
      <c r="U697" s="1" t="s">
        <v>2181</v>
      </c>
      <c r="V697" s="1" t="s">
        <v>448</v>
      </c>
      <c r="W697" s="1" t="s">
        <v>177</v>
      </c>
      <c r="X697" s="1"/>
      <c r="Y697" s="1"/>
      <c r="Z697" s="1" t="s">
        <v>147</v>
      </c>
      <c r="AA697" s="1" t="s">
        <v>3137</v>
      </c>
      <c r="AB697" s="1" t="str">
        <f>"***469892**"</f>
        <v>***469892**</v>
      </c>
      <c r="AC697" s="1"/>
      <c r="AD697" s="1" t="s">
        <v>62</v>
      </c>
      <c r="AE697" s="1"/>
      <c r="AF697" s="1">
        <v>-63.704166</v>
      </c>
      <c r="AG697" s="1">
        <v>-12.2375</v>
      </c>
      <c r="AH697" s="1" t="s">
        <v>3138</v>
      </c>
      <c r="AI697" s="1"/>
      <c r="AJ697" s="1" t="s">
        <v>172</v>
      </c>
      <c r="AK697" s="1"/>
      <c r="AL697" s="1"/>
      <c r="AM697" s="1" t="s">
        <v>65</v>
      </c>
      <c r="AN697" s="1" t="s">
        <v>1395</v>
      </c>
      <c r="AO697" s="1"/>
      <c r="AP697" s="2">
        <v>43803.5561458333</v>
      </c>
      <c r="AQ697" s="1"/>
      <c r="AR697" s="1" t="s">
        <v>793</v>
      </c>
      <c r="AS697" s="1"/>
      <c r="AT697" s="2">
        <v>44269.931099537</v>
      </c>
    </row>
    <row r="698" ht="13.5" customHeight="1">
      <c r="A698" s="1"/>
      <c r="B698" s="1" t="s">
        <v>46</v>
      </c>
      <c r="C698" s="1" t="s">
        <v>47</v>
      </c>
      <c r="D698" s="1"/>
      <c r="E698" s="1" t="s">
        <v>3139</v>
      </c>
      <c r="F698" s="1"/>
      <c r="G698" s="1" t="s">
        <v>49</v>
      </c>
      <c r="H698" s="1" t="s">
        <v>93</v>
      </c>
      <c r="I698" s="1">
        <v>85000.0</v>
      </c>
      <c r="J698" s="1"/>
      <c r="K698" s="1"/>
      <c r="L698" s="1"/>
      <c r="M698" s="1" t="s">
        <v>3140</v>
      </c>
      <c r="N698" s="1" t="s">
        <v>142</v>
      </c>
      <c r="O698" s="1" t="s">
        <v>143</v>
      </c>
      <c r="P698" s="2">
        <v>43803.5038078704</v>
      </c>
      <c r="Q698" s="1" t="s">
        <v>373</v>
      </c>
      <c r="R698" s="1"/>
      <c r="S698" s="1"/>
      <c r="T698" s="1">
        <v>5106158.0</v>
      </c>
      <c r="U698" s="1" t="s">
        <v>1700</v>
      </c>
      <c r="V698" s="1" t="s">
        <v>164</v>
      </c>
      <c r="W698" s="1" t="s">
        <v>177</v>
      </c>
      <c r="X698" s="1"/>
      <c r="Y698" s="1"/>
      <c r="Z698" s="1" t="s">
        <v>147</v>
      </c>
      <c r="AA698" s="1" t="s">
        <v>3141</v>
      </c>
      <c r="AB698" s="1" t="str">
        <f>"***513421**"</f>
        <v>***513421**</v>
      </c>
      <c r="AC698" s="1"/>
      <c r="AD698" s="1" t="s">
        <v>116</v>
      </c>
      <c r="AE698" s="1"/>
      <c r="AF698" s="1">
        <v>-58.242779</v>
      </c>
      <c r="AG698" s="1">
        <v>-10.446944</v>
      </c>
      <c r="AH698" s="1" t="s">
        <v>3142</v>
      </c>
      <c r="AI698" s="1"/>
      <c r="AJ698" s="1" t="s">
        <v>172</v>
      </c>
      <c r="AK698" s="1"/>
      <c r="AL698" s="1"/>
      <c r="AM698" s="1" t="s">
        <v>65</v>
      </c>
      <c r="AN698" s="1" t="s">
        <v>1703</v>
      </c>
      <c r="AO698" s="1"/>
      <c r="AP698" s="2">
        <v>44018.8746759259</v>
      </c>
      <c r="AQ698" s="1"/>
      <c r="AR698" s="1" t="s">
        <v>871</v>
      </c>
      <c r="AS698" s="1"/>
      <c r="AT698" s="2">
        <v>44269.931099537</v>
      </c>
    </row>
    <row r="699" ht="13.5" customHeight="1">
      <c r="A699" s="1">
        <v>2040048.0</v>
      </c>
      <c r="B699" s="1" t="s">
        <v>67</v>
      </c>
      <c r="C699" s="1" t="s">
        <v>68</v>
      </c>
      <c r="D699" s="1" t="s">
        <v>46</v>
      </c>
      <c r="E699" s="1" t="s">
        <v>3143</v>
      </c>
      <c r="F699" s="1"/>
      <c r="G699" s="1" t="s">
        <v>70</v>
      </c>
      <c r="H699" s="1" t="s">
        <v>50</v>
      </c>
      <c r="I699" s="1">
        <v>100000.0</v>
      </c>
      <c r="J699" s="1"/>
      <c r="K699" s="1"/>
      <c r="L699" s="1" t="s">
        <v>172</v>
      </c>
      <c r="M699" s="1" t="s">
        <v>3144</v>
      </c>
      <c r="N699" s="1" t="s">
        <v>283</v>
      </c>
      <c r="O699" s="1" t="s">
        <v>1133</v>
      </c>
      <c r="P699" s="2">
        <v>43803.5</v>
      </c>
      <c r="Q699" s="1" t="s">
        <v>74</v>
      </c>
      <c r="R699" s="1"/>
      <c r="S699" s="1"/>
      <c r="T699" s="1">
        <v>3302403.0</v>
      </c>
      <c r="U699" s="1" t="s">
        <v>1371</v>
      </c>
      <c r="V699" s="1" t="s">
        <v>287</v>
      </c>
      <c r="W699" s="1" t="s">
        <v>288</v>
      </c>
      <c r="X699" s="1"/>
      <c r="Y699" s="1" t="str">
        <f>"02001035330201950"</f>
        <v>02001035330201950</v>
      </c>
      <c r="Z699" s="1" t="s">
        <v>128</v>
      </c>
      <c r="AA699" s="1" t="s">
        <v>1449</v>
      </c>
      <c r="AB699" s="1" t="str">
        <f>"33000167100750"</f>
        <v>33000167100750</v>
      </c>
      <c r="AC699" s="1"/>
      <c r="AD699" s="1"/>
      <c r="AE699" s="1"/>
      <c r="AF699" s="1">
        <v>-40.331665</v>
      </c>
      <c r="AG699" s="1">
        <v>-22.254168</v>
      </c>
      <c r="AH699" s="1" t="s">
        <v>2130</v>
      </c>
      <c r="AI699" s="1"/>
      <c r="AJ699" s="1" t="s">
        <v>172</v>
      </c>
      <c r="AK699" s="1"/>
      <c r="AL699" s="1" t="s">
        <v>79</v>
      </c>
      <c r="AM699" s="1" t="s">
        <v>65</v>
      </c>
      <c r="AN699" s="1" t="s">
        <v>720</v>
      </c>
      <c r="AO699" s="2">
        <v>44084.0</v>
      </c>
      <c r="AP699" s="2">
        <v>44084.6817939815</v>
      </c>
      <c r="AQ699" s="1" t="s">
        <v>80</v>
      </c>
      <c r="AR699" s="1" t="s">
        <v>1485</v>
      </c>
      <c r="AS699" s="1" t="s">
        <v>1361</v>
      </c>
      <c r="AT699" s="2">
        <v>44269.931099537</v>
      </c>
    </row>
    <row r="700" ht="13.5" customHeight="1">
      <c r="A700" s="1"/>
      <c r="B700" s="1" t="s">
        <v>46</v>
      </c>
      <c r="C700" s="1" t="s">
        <v>47</v>
      </c>
      <c r="D700" s="1"/>
      <c r="E700" s="1" t="s">
        <v>3145</v>
      </c>
      <c r="F700" s="1"/>
      <c r="G700" s="1" t="s">
        <v>49</v>
      </c>
      <c r="H700" s="1" t="s">
        <v>93</v>
      </c>
      <c r="I700" s="1">
        <v>515540.0</v>
      </c>
      <c r="J700" s="1"/>
      <c r="K700" s="1"/>
      <c r="L700" s="1"/>
      <c r="M700" s="1" t="s">
        <v>3146</v>
      </c>
      <c r="N700" s="1" t="s">
        <v>142</v>
      </c>
      <c r="O700" s="1" t="s">
        <v>143</v>
      </c>
      <c r="P700" s="2">
        <v>43803.4999074074</v>
      </c>
      <c r="Q700" s="1" t="s">
        <v>74</v>
      </c>
      <c r="R700" s="1"/>
      <c r="S700" s="1"/>
      <c r="T700" s="1">
        <v>1302702.0</v>
      </c>
      <c r="U700" s="1" t="s">
        <v>3147</v>
      </c>
      <c r="V700" s="1" t="s">
        <v>486</v>
      </c>
      <c r="W700" s="1" t="s">
        <v>177</v>
      </c>
      <c r="X700" s="1"/>
      <c r="Y700" s="1"/>
      <c r="Z700" s="1" t="s">
        <v>147</v>
      </c>
      <c r="AA700" s="1" t="s">
        <v>3148</v>
      </c>
      <c r="AB700" s="1" t="str">
        <f>"***174138**"</f>
        <v>***174138**</v>
      </c>
      <c r="AC700" s="1"/>
      <c r="AD700" s="1" t="s">
        <v>116</v>
      </c>
      <c r="AE700" s="1"/>
      <c r="AF700" s="1">
        <v>-61.440833</v>
      </c>
      <c r="AG700" s="1">
        <v>-8.013889</v>
      </c>
      <c r="AH700" s="1" t="s">
        <v>3149</v>
      </c>
      <c r="AI700" s="1"/>
      <c r="AJ700" s="1" t="s">
        <v>172</v>
      </c>
      <c r="AK700" s="1"/>
      <c r="AL700" s="1"/>
      <c r="AM700" s="1" t="s">
        <v>65</v>
      </c>
      <c r="AN700" s="1" t="s">
        <v>2164</v>
      </c>
      <c r="AO700" s="1"/>
      <c r="AP700" s="2">
        <v>44215.6723032407</v>
      </c>
      <c r="AQ700" s="1"/>
      <c r="AR700" s="1" t="s">
        <v>3150</v>
      </c>
      <c r="AS700" s="1"/>
      <c r="AT700" s="2">
        <v>44269.931099537</v>
      </c>
    </row>
    <row r="701" ht="13.5" customHeight="1">
      <c r="A701" s="1"/>
      <c r="B701" s="1" t="s">
        <v>46</v>
      </c>
      <c r="C701" s="1" t="s">
        <v>47</v>
      </c>
      <c r="D701" s="1"/>
      <c r="E701" s="1" t="s">
        <v>3151</v>
      </c>
      <c r="F701" s="1"/>
      <c r="G701" s="1" t="s">
        <v>49</v>
      </c>
      <c r="H701" s="1" t="s">
        <v>50</v>
      </c>
      <c r="I701" s="1">
        <v>117000.0</v>
      </c>
      <c r="J701" s="1"/>
      <c r="K701" s="1" t="s">
        <v>51</v>
      </c>
      <c r="L701" s="1"/>
      <c r="M701" s="1" t="s">
        <v>3152</v>
      </c>
      <c r="N701" s="1" t="s">
        <v>283</v>
      </c>
      <c r="O701" s="1" t="s">
        <v>1133</v>
      </c>
      <c r="P701" s="2">
        <v>43803.4966666667</v>
      </c>
      <c r="Q701" s="1" t="s">
        <v>74</v>
      </c>
      <c r="R701" s="1"/>
      <c r="S701" s="1"/>
      <c r="T701" s="1">
        <v>3302403.0</v>
      </c>
      <c r="U701" s="1" t="s">
        <v>1371</v>
      </c>
      <c r="V701" s="1" t="s">
        <v>287</v>
      </c>
      <c r="W701" s="1" t="s">
        <v>288</v>
      </c>
      <c r="X701" s="1"/>
      <c r="Y701" s="1"/>
      <c r="Z701" s="1" t="s">
        <v>128</v>
      </c>
      <c r="AA701" s="1" t="s">
        <v>1449</v>
      </c>
      <c r="AB701" s="1" t="str">
        <f>"33000167100750"</f>
        <v>33000167100750</v>
      </c>
      <c r="AC701" s="1"/>
      <c r="AD701" s="1" t="s">
        <v>62</v>
      </c>
      <c r="AE701" s="1"/>
      <c r="AF701" s="1">
        <v>-40.4025</v>
      </c>
      <c r="AG701" s="1">
        <v>-22.373333</v>
      </c>
      <c r="AH701" s="1" t="s">
        <v>2855</v>
      </c>
      <c r="AI701" s="1"/>
      <c r="AJ701" s="1" t="s">
        <v>172</v>
      </c>
      <c r="AK701" s="1"/>
      <c r="AL701" s="1"/>
      <c r="AM701" s="1" t="s">
        <v>65</v>
      </c>
      <c r="AN701" s="1" t="s">
        <v>720</v>
      </c>
      <c r="AO701" s="1"/>
      <c r="AP701" s="2">
        <v>44013.7228356481</v>
      </c>
      <c r="AQ701" s="1"/>
      <c r="AR701" s="1" t="s">
        <v>1360</v>
      </c>
      <c r="AS701" s="1" t="s">
        <v>3153</v>
      </c>
      <c r="AT701" s="2">
        <v>44269.931099537</v>
      </c>
    </row>
    <row r="702" ht="13.5" customHeight="1">
      <c r="A702" s="1"/>
      <c r="B702" s="1" t="s">
        <v>46</v>
      </c>
      <c r="C702" s="1" t="s">
        <v>47</v>
      </c>
      <c r="D702" s="1"/>
      <c r="E702" s="1" t="s">
        <v>3154</v>
      </c>
      <c r="F702" s="1"/>
      <c r="G702" s="1" t="s">
        <v>49</v>
      </c>
      <c r="H702" s="1" t="s">
        <v>50</v>
      </c>
      <c r="I702" s="1">
        <v>11000.0</v>
      </c>
      <c r="J702" s="1"/>
      <c r="K702" s="1" t="s">
        <v>140</v>
      </c>
      <c r="L702" s="1"/>
      <c r="M702" s="1" t="s">
        <v>3155</v>
      </c>
      <c r="N702" s="1" t="s">
        <v>123</v>
      </c>
      <c r="O702" s="1" t="s">
        <v>73</v>
      </c>
      <c r="P702" s="2">
        <v>43803.468900463</v>
      </c>
      <c r="Q702" s="1" t="s">
        <v>74</v>
      </c>
      <c r="R702" s="1"/>
      <c r="S702" s="1"/>
      <c r="T702" s="1">
        <v>2929305.0</v>
      </c>
      <c r="U702" s="1" t="s">
        <v>3156</v>
      </c>
      <c r="V702" s="1" t="s">
        <v>632</v>
      </c>
      <c r="W702" s="1" t="s">
        <v>127</v>
      </c>
      <c r="X702" s="1"/>
      <c r="Y702" s="1"/>
      <c r="Z702" s="1" t="s">
        <v>76</v>
      </c>
      <c r="AA702" s="1" t="s">
        <v>3157</v>
      </c>
      <c r="AB702" s="1" t="str">
        <f>"27017222000173"</f>
        <v>27017222000173</v>
      </c>
      <c r="AC702" s="1"/>
      <c r="AD702" s="1" t="s">
        <v>149</v>
      </c>
      <c r="AE702" s="1"/>
      <c r="AF702" s="1">
        <v>-39.059166</v>
      </c>
      <c r="AG702" s="1">
        <v>-12.345555</v>
      </c>
      <c r="AH702" s="1" t="s">
        <v>982</v>
      </c>
      <c r="AI702" s="1"/>
      <c r="AJ702" s="1" t="s">
        <v>172</v>
      </c>
      <c r="AK702" s="1"/>
      <c r="AL702" s="1"/>
      <c r="AM702" s="1" t="s">
        <v>65</v>
      </c>
      <c r="AN702" s="1" t="s">
        <v>983</v>
      </c>
      <c r="AO702" s="1"/>
      <c r="AP702" s="2">
        <v>44008.7425810185</v>
      </c>
      <c r="AQ702" s="1"/>
      <c r="AR702" s="1" t="s">
        <v>899</v>
      </c>
      <c r="AS702" s="1" t="s">
        <v>3158</v>
      </c>
      <c r="AT702" s="2">
        <v>44269.931099537</v>
      </c>
    </row>
    <row r="703" ht="13.5" customHeight="1">
      <c r="A703" s="1"/>
      <c r="B703" s="1" t="s">
        <v>46</v>
      </c>
      <c r="C703" s="1" t="s">
        <v>47</v>
      </c>
      <c r="D703" s="1"/>
      <c r="E703" s="1" t="s">
        <v>3159</v>
      </c>
      <c r="F703" s="1"/>
      <c r="G703" s="1" t="s">
        <v>49</v>
      </c>
      <c r="H703" s="1" t="s">
        <v>93</v>
      </c>
      <c r="I703" s="1">
        <v>844570.0</v>
      </c>
      <c r="J703" s="1"/>
      <c r="K703" s="1"/>
      <c r="L703" s="1"/>
      <c r="M703" s="1" t="s">
        <v>3160</v>
      </c>
      <c r="N703" s="1" t="s">
        <v>142</v>
      </c>
      <c r="O703" s="1" t="s">
        <v>143</v>
      </c>
      <c r="P703" s="2">
        <v>43803.4588657408</v>
      </c>
      <c r="Q703" s="1" t="s">
        <v>74</v>
      </c>
      <c r="R703" s="1"/>
      <c r="S703" s="1"/>
      <c r="T703" s="1">
        <v>1507300.0</v>
      </c>
      <c r="U703" s="1" t="s">
        <v>3161</v>
      </c>
      <c r="V703" s="1" t="s">
        <v>193</v>
      </c>
      <c r="W703" s="1" t="s">
        <v>177</v>
      </c>
      <c r="X703" s="1"/>
      <c r="Y703" s="1"/>
      <c r="Z703" s="1" t="s">
        <v>147</v>
      </c>
      <c r="AA703" s="1" t="s">
        <v>3162</v>
      </c>
      <c r="AB703" s="1" t="str">
        <f>"***437271**"</f>
        <v>***437271**</v>
      </c>
      <c r="AC703" s="1"/>
      <c r="AD703" s="1" t="s">
        <v>116</v>
      </c>
      <c r="AE703" s="1"/>
      <c r="AF703" s="1">
        <v>-51.567778</v>
      </c>
      <c r="AG703" s="1">
        <v>-5.591389</v>
      </c>
      <c r="AH703" s="1" t="s">
        <v>3163</v>
      </c>
      <c r="AI703" s="1"/>
      <c r="AJ703" s="1" t="s">
        <v>172</v>
      </c>
      <c r="AK703" s="1"/>
      <c r="AL703" s="1"/>
      <c r="AM703" s="1" t="s">
        <v>65</v>
      </c>
      <c r="AN703" s="1" t="s">
        <v>2164</v>
      </c>
      <c r="AO703" s="1"/>
      <c r="AP703" s="2">
        <v>44215.6724074074</v>
      </c>
      <c r="AQ703" s="1"/>
      <c r="AR703" s="1" t="s">
        <v>3150</v>
      </c>
      <c r="AS703" s="1"/>
      <c r="AT703" s="2">
        <v>44269.931099537</v>
      </c>
    </row>
    <row r="704" ht="13.5" customHeight="1">
      <c r="A704" s="1"/>
      <c r="B704" s="1" t="s">
        <v>46</v>
      </c>
      <c r="C704" s="1" t="s">
        <v>47</v>
      </c>
      <c r="D704" s="1"/>
      <c r="E704" s="1" t="s">
        <v>3164</v>
      </c>
      <c r="F704" s="1"/>
      <c r="G704" s="1" t="s">
        <v>49</v>
      </c>
      <c r="H704" s="1" t="s">
        <v>50</v>
      </c>
      <c r="I704" s="1">
        <v>11000.0</v>
      </c>
      <c r="J704" s="1"/>
      <c r="K704" s="1" t="s">
        <v>140</v>
      </c>
      <c r="L704" s="1"/>
      <c r="M704" s="1" t="s">
        <v>3155</v>
      </c>
      <c r="N704" s="1" t="s">
        <v>123</v>
      </c>
      <c r="O704" s="1" t="s">
        <v>73</v>
      </c>
      <c r="P704" s="2">
        <v>43803.4586342593</v>
      </c>
      <c r="Q704" s="1" t="s">
        <v>74</v>
      </c>
      <c r="R704" s="1"/>
      <c r="S704" s="1"/>
      <c r="T704" s="1">
        <v>3548807.0</v>
      </c>
      <c r="U704" s="1" t="s">
        <v>3165</v>
      </c>
      <c r="V704" s="1" t="s">
        <v>58</v>
      </c>
      <c r="W704" s="1" t="s">
        <v>59</v>
      </c>
      <c r="X704" s="1"/>
      <c r="Y704" s="1"/>
      <c r="Z704" s="1" t="s">
        <v>76</v>
      </c>
      <c r="AA704" s="1" t="s">
        <v>3166</v>
      </c>
      <c r="AB704" s="1" t="str">
        <f>"12957966000109"</f>
        <v>12957966000109</v>
      </c>
      <c r="AC704" s="1"/>
      <c r="AD704" s="1" t="s">
        <v>149</v>
      </c>
      <c r="AE704" s="1"/>
      <c r="AF704" s="1">
        <v>-46.68111</v>
      </c>
      <c r="AG704" s="1">
        <v>-23.647223</v>
      </c>
      <c r="AH704" s="1" t="s">
        <v>982</v>
      </c>
      <c r="AI704" s="1"/>
      <c r="AJ704" s="1" t="s">
        <v>172</v>
      </c>
      <c r="AK704" s="1"/>
      <c r="AL704" s="1"/>
      <c r="AM704" s="1" t="s">
        <v>65</v>
      </c>
      <c r="AN704" s="1" t="s">
        <v>983</v>
      </c>
      <c r="AO704" s="1"/>
      <c r="AP704" s="2">
        <v>44008.7424884259</v>
      </c>
      <c r="AQ704" s="1"/>
      <c r="AR704" s="1" t="s">
        <v>899</v>
      </c>
      <c r="AS704" s="1" t="s">
        <v>3158</v>
      </c>
      <c r="AT704" s="2">
        <v>44269.931099537</v>
      </c>
    </row>
    <row r="705" ht="13.5" customHeight="1">
      <c r="A705" s="1">
        <v>2034842.0</v>
      </c>
      <c r="B705" s="1" t="s">
        <v>67</v>
      </c>
      <c r="C705" s="1" t="s">
        <v>68</v>
      </c>
      <c r="D705" s="1" t="s">
        <v>46</v>
      </c>
      <c r="E705" s="1" t="s">
        <v>3167</v>
      </c>
      <c r="F705" s="1"/>
      <c r="G705" s="1" t="s">
        <v>70</v>
      </c>
      <c r="H705" s="1" t="s">
        <v>93</v>
      </c>
      <c r="I705" s="1">
        <v>375000.0</v>
      </c>
      <c r="J705" s="1"/>
      <c r="K705" s="1"/>
      <c r="L705" s="1" t="s">
        <v>196</v>
      </c>
      <c r="M705" s="1" t="s">
        <v>3168</v>
      </c>
      <c r="N705" s="1" t="s">
        <v>142</v>
      </c>
      <c r="O705" s="1" t="s">
        <v>143</v>
      </c>
      <c r="P705" s="2">
        <v>43803.4583333333</v>
      </c>
      <c r="Q705" s="1" t="s">
        <v>373</v>
      </c>
      <c r="R705" s="3">
        <v>43803.0</v>
      </c>
      <c r="S705" s="1"/>
      <c r="T705" s="1">
        <v>1505809.0</v>
      </c>
      <c r="U705" s="1" t="s">
        <v>3084</v>
      </c>
      <c r="V705" s="1" t="s">
        <v>193</v>
      </c>
      <c r="W705" s="1" t="s">
        <v>177</v>
      </c>
      <c r="X705" s="1"/>
      <c r="Y705" s="1" t="str">
        <f>"02018000156202089"</f>
        <v>02018000156202089</v>
      </c>
      <c r="Z705" s="1" t="s">
        <v>147</v>
      </c>
      <c r="AA705" s="1" t="s">
        <v>3169</v>
      </c>
      <c r="AB705" s="1" t="str">
        <f>"***958603**"</f>
        <v>***958603**</v>
      </c>
      <c r="AC705" s="1"/>
      <c r="AD705" s="1"/>
      <c r="AE705" s="1"/>
      <c r="AF705" s="1">
        <v>-50.381664</v>
      </c>
      <c r="AG705" s="1">
        <v>-3.258611</v>
      </c>
      <c r="AH705" s="1" t="s">
        <v>3170</v>
      </c>
      <c r="AI705" s="1"/>
      <c r="AJ705" s="1" t="s">
        <v>196</v>
      </c>
      <c r="AK705" s="1"/>
      <c r="AL705" s="1" t="s">
        <v>79</v>
      </c>
      <c r="AM705" s="1" t="s">
        <v>65</v>
      </c>
      <c r="AN705" s="1" t="s">
        <v>3087</v>
      </c>
      <c r="AO705" s="2">
        <v>43892.0</v>
      </c>
      <c r="AP705" s="2">
        <v>43892.4620486111</v>
      </c>
      <c r="AQ705" s="1" t="s">
        <v>80</v>
      </c>
      <c r="AR705" s="1" t="s">
        <v>421</v>
      </c>
      <c r="AS705" s="1"/>
      <c r="AT705" s="2">
        <v>44269.931099537</v>
      </c>
    </row>
    <row r="706" ht="13.5" customHeight="1">
      <c r="A706" s="1">
        <v>2035339.0</v>
      </c>
      <c r="B706" s="1" t="s">
        <v>67</v>
      </c>
      <c r="C706" s="1" t="s">
        <v>68</v>
      </c>
      <c r="D706" s="1" t="s">
        <v>46</v>
      </c>
      <c r="E706" s="1" t="s">
        <v>3171</v>
      </c>
      <c r="F706" s="1"/>
      <c r="G706" s="1" t="s">
        <v>70</v>
      </c>
      <c r="H706" s="1" t="s">
        <v>93</v>
      </c>
      <c r="I706" s="1">
        <v>630000.0</v>
      </c>
      <c r="J706" s="1"/>
      <c r="K706" s="1"/>
      <c r="L706" s="1" t="s">
        <v>196</v>
      </c>
      <c r="M706" s="1" t="s">
        <v>3172</v>
      </c>
      <c r="N706" s="1" t="s">
        <v>142</v>
      </c>
      <c r="O706" s="1" t="s">
        <v>143</v>
      </c>
      <c r="P706" s="2">
        <v>43803.4583333333</v>
      </c>
      <c r="Q706" s="1" t="s">
        <v>74</v>
      </c>
      <c r="R706" s="3">
        <v>43802.0</v>
      </c>
      <c r="S706" s="1"/>
      <c r="T706" s="1">
        <v>1505809.0</v>
      </c>
      <c r="U706" s="1" t="s">
        <v>3084</v>
      </c>
      <c r="V706" s="1" t="s">
        <v>193</v>
      </c>
      <c r="W706" s="1" t="s">
        <v>177</v>
      </c>
      <c r="X706" s="1"/>
      <c r="Y706" s="1" t="str">
        <f>"02018001542202098"</f>
        <v>02018001542202098</v>
      </c>
      <c r="Z706" s="1" t="s">
        <v>147</v>
      </c>
      <c r="AA706" s="1" t="s">
        <v>3085</v>
      </c>
      <c r="AB706" s="1" t="str">
        <f>"***452372**"</f>
        <v>***452372**</v>
      </c>
      <c r="AC706" s="1"/>
      <c r="AD706" s="1"/>
      <c r="AE706" s="1"/>
      <c r="AF706" s="1">
        <v>-50.832779</v>
      </c>
      <c r="AG706" s="1">
        <v>-3.561111</v>
      </c>
      <c r="AH706" s="1" t="s">
        <v>3173</v>
      </c>
      <c r="AI706" s="1"/>
      <c r="AJ706" s="1" t="s">
        <v>196</v>
      </c>
      <c r="AK706" s="1"/>
      <c r="AL706" s="1" t="s">
        <v>79</v>
      </c>
      <c r="AM706" s="1" t="s">
        <v>65</v>
      </c>
      <c r="AN706" s="1" t="s">
        <v>3087</v>
      </c>
      <c r="AO706" s="2">
        <v>43900.0</v>
      </c>
      <c r="AP706" s="2">
        <v>43900.728287037</v>
      </c>
      <c r="AQ706" s="1" t="s">
        <v>80</v>
      </c>
      <c r="AR706" s="1" t="s">
        <v>392</v>
      </c>
      <c r="AS706" s="1"/>
      <c r="AT706" s="2">
        <v>44269.931099537</v>
      </c>
    </row>
    <row r="707" ht="13.5" customHeight="1">
      <c r="A707" s="1"/>
      <c r="B707" s="1" t="s">
        <v>46</v>
      </c>
      <c r="C707" s="1" t="s">
        <v>47</v>
      </c>
      <c r="D707" s="1"/>
      <c r="E707" s="1" t="s">
        <v>3174</v>
      </c>
      <c r="F707" s="1"/>
      <c r="G707" s="1" t="s">
        <v>49</v>
      </c>
      <c r="H707" s="1" t="s">
        <v>50</v>
      </c>
      <c r="I707" s="1">
        <v>11000.0</v>
      </c>
      <c r="J707" s="1"/>
      <c r="K707" s="1" t="s">
        <v>140</v>
      </c>
      <c r="L707" s="1"/>
      <c r="M707" s="1" t="s">
        <v>3155</v>
      </c>
      <c r="N707" s="1" t="s">
        <v>123</v>
      </c>
      <c r="O707" s="1" t="s">
        <v>73</v>
      </c>
      <c r="P707" s="2">
        <v>43803.4528240741</v>
      </c>
      <c r="Q707" s="1" t="s">
        <v>74</v>
      </c>
      <c r="R707" s="1"/>
      <c r="S707" s="1"/>
      <c r="T707" s="1">
        <v>3506003.0</v>
      </c>
      <c r="U707" s="1" t="s">
        <v>3175</v>
      </c>
      <c r="V707" s="1" t="s">
        <v>58</v>
      </c>
      <c r="W707" s="1" t="s">
        <v>59</v>
      </c>
      <c r="X707" s="1"/>
      <c r="Y707" s="1"/>
      <c r="Z707" s="1" t="s">
        <v>76</v>
      </c>
      <c r="AA707" s="1" t="s">
        <v>3176</v>
      </c>
      <c r="AB707" s="1" t="str">
        <f>"06109950000135"</f>
        <v>06109950000135</v>
      </c>
      <c r="AC707" s="1"/>
      <c r="AD707" s="1" t="s">
        <v>149</v>
      </c>
      <c r="AE707" s="1"/>
      <c r="AF707" s="1">
        <v>-49.173054</v>
      </c>
      <c r="AG707" s="1">
        <v>-22.339445</v>
      </c>
      <c r="AH707" s="1" t="s">
        <v>982</v>
      </c>
      <c r="AI707" s="1"/>
      <c r="AJ707" s="1" t="s">
        <v>172</v>
      </c>
      <c r="AK707" s="1"/>
      <c r="AL707" s="1"/>
      <c r="AM707" s="1" t="s">
        <v>65</v>
      </c>
      <c r="AN707" s="1" t="s">
        <v>983</v>
      </c>
      <c r="AO707" s="1"/>
      <c r="AP707" s="2">
        <v>44008.7423263889</v>
      </c>
      <c r="AQ707" s="1"/>
      <c r="AR707" s="1" t="s">
        <v>899</v>
      </c>
      <c r="AS707" s="1" t="s">
        <v>3177</v>
      </c>
      <c r="AT707" s="2">
        <v>44269.931099537</v>
      </c>
    </row>
    <row r="708" ht="13.5" customHeight="1">
      <c r="A708" s="1"/>
      <c r="B708" s="1" t="s">
        <v>46</v>
      </c>
      <c r="C708" s="1" t="s">
        <v>47</v>
      </c>
      <c r="D708" s="1"/>
      <c r="E708" s="1" t="s">
        <v>3178</v>
      </c>
      <c r="F708" s="1"/>
      <c r="G708" s="1" t="s">
        <v>49</v>
      </c>
      <c r="H708" s="1" t="s">
        <v>50</v>
      </c>
      <c r="I708" s="1">
        <v>11000.0</v>
      </c>
      <c r="J708" s="1"/>
      <c r="K708" s="1" t="s">
        <v>140</v>
      </c>
      <c r="L708" s="1"/>
      <c r="M708" s="1" t="s">
        <v>3155</v>
      </c>
      <c r="N708" s="1" t="s">
        <v>123</v>
      </c>
      <c r="O708" s="1" t="s">
        <v>73</v>
      </c>
      <c r="P708" s="2">
        <v>43803.4228935185</v>
      </c>
      <c r="Q708" s="1" t="s">
        <v>74</v>
      </c>
      <c r="R708" s="1"/>
      <c r="S708" s="1"/>
      <c r="T708" s="1">
        <v>3550308.0</v>
      </c>
      <c r="U708" s="1" t="s">
        <v>607</v>
      </c>
      <c r="V708" s="1" t="s">
        <v>58</v>
      </c>
      <c r="W708" s="1" t="s">
        <v>59</v>
      </c>
      <c r="X708" s="1"/>
      <c r="Y708" s="1"/>
      <c r="Z708" s="1" t="s">
        <v>76</v>
      </c>
      <c r="AA708" s="1" t="s">
        <v>3179</v>
      </c>
      <c r="AB708" s="1" t="str">
        <f>"03352602000104"</f>
        <v>03352602000104</v>
      </c>
      <c r="AC708" s="1"/>
      <c r="AD708" s="1" t="s">
        <v>149</v>
      </c>
      <c r="AE708" s="1"/>
      <c r="AF708" s="1">
        <v>-46.675278</v>
      </c>
      <c r="AG708" s="1">
        <v>-23.553055</v>
      </c>
      <c r="AH708" s="1" t="s">
        <v>982</v>
      </c>
      <c r="AI708" s="1"/>
      <c r="AJ708" s="1" t="s">
        <v>172</v>
      </c>
      <c r="AK708" s="1"/>
      <c r="AL708" s="1"/>
      <c r="AM708" s="1" t="s">
        <v>65</v>
      </c>
      <c r="AN708" s="1" t="s">
        <v>983</v>
      </c>
      <c r="AO708" s="1"/>
      <c r="AP708" s="2">
        <v>44008.7421412037</v>
      </c>
      <c r="AQ708" s="1"/>
      <c r="AR708" s="1" t="s">
        <v>899</v>
      </c>
      <c r="AS708" s="1" t="s">
        <v>3158</v>
      </c>
      <c r="AT708" s="2">
        <v>44269.931099537</v>
      </c>
    </row>
    <row r="709" ht="13.5" customHeight="1">
      <c r="A709" s="1">
        <v>2034843.0</v>
      </c>
      <c r="B709" s="1" t="s">
        <v>67</v>
      </c>
      <c r="C709" s="1" t="s">
        <v>68</v>
      </c>
      <c r="D709" s="1" t="s">
        <v>46</v>
      </c>
      <c r="E709" s="1" t="s">
        <v>3180</v>
      </c>
      <c r="F709" s="1"/>
      <c r="G709" s="1" t="s">
        <v>70</v>
      </c>
      <c r="H709" s="1" t="s">
        <v>93</v>
      </c>
      <c r="I709" s="1">
        <v>315000.0</v>
      </c>
      <c r="J709" s="1"/>
      <c r="K709" s="1"/>
      <c r="L709" s="1" t="s">
        <v>196</v>
      </c>
      <c r="M709" s="1" t="s">
        <v>3181</v>
      </c>
      <c r="N709" s="1" t="s">
        <v>142</v>
      </c>
      <c r="O709" s="1" t="s">
        <v>143</v>
      </c>
      <c r="P709" s="2">
        <v>43803.4166666667</v>
      </c>
      <c r="Q709" s="1" t="s">
        <v>373</v>
      </c>
      <c r="R709" s="3">
        <v>43803.0</v>
      </c>
      <c r="S709" s="1"/>
      <c r="T709" s="1">
        <v>1505809.0</v>
      </c>
      <c r="U709" s="1" t="s">
        <v>3084</v>
      </c>
      <c r="V709" s="1" t="s">
        <v>193</v>
      </c>
      <c r="W709" s="1" t="s">
        <v>177</v>
      </c>
      <c r="X709" s="1"/>
      <c r="Y709" s="1" t="str">
        <f>"02018001259202066"</f>
        <v>02018001259202066</v>
      </c>
      <c r="Z709" s="1" t="s">
        <v>147</v>
      </c>
      <c r="AA709" s="1" t="s">
        <v>3182</v>
      </c>
      <c r="AB709" s="1" t="str">
        <f>"***544512**"</f>
        <v>***544512**</v>
      </c>
      <c r="AC709" s="1"/>
      <c r="AD709" s="1"/>
      <c r="AE709" s="1"/>
      <c r="AF709" s="1">
        <v>-50.516941</v>
      </c>
      <c r="AG709" s="1">
        <v>-3.237778</v>
      </c>
      <c r="AH709" s="1" t="s">
        <v>3183</v>
      </c>
      <c r="AI709" s="1"/>
      <c r="AJ709" s="1" t="s">
        <v>196</v>
      </c>
      <c r="AK709" s="1"/>
      <c r="AL709" s="1" t="s">
        <v>79</v>
      </c>
      <c r="AM709" s="1" t="s">
        <v>65</v>
      </c>
      <c r="AN709" s="1" t="s">
        <v>3087</v>
      </c>
      <c r="AO709" s="2">
        <v>43892.0</v>
      </c>
      <c r="AP709" s="2">
        <v>43892.4621643518</v>
      </c>
      <c r="AQ709" s="1" t="s">
        <v>80</v>
      </c>
      <c r="AR709" s="1" t="s">
        <v>421</v>
      </c>
      <c r="AS709" s="1"/>
      <c r="AT709" s="2">
        <v>44269.931099537</v>
      </c>
    </row>
    <row r="710" ht="13.5" customHeight="1">
      <c r="A710" s="1">
        <v>2038068.0</v>
      </c>
      <c r="B710" s="1" t="s">
        <v>67</v>
      </c>
      <c r="C710" s="1" t="s">
        <v>89</v>
      </c>
      <c r="D710" s="1" t="s">
        <v>67</v>
      </c>
      <c r="E710" s="1" t="s">
        <v>3184</v>
      </c>
      <c r="F710" s="1"/>
      <c r="G710" s="1" t="s">
        <v>70</v>
      </c>
      <c r="H710" s="1" t="s">
        <v>50</v>
      </c>
      <c r="I710" s="1">
        <v>4400000.0</v>
      </c>
      <c r="J710" s="1"/>
      <c r="K710" s="1"/>
      <c r="L710" s="1" t="s">
        <v>172</v>
      </c>
      <c r="M710" s="1" t="s">
        <v>3185</v>
      </c>
      <c r="N710" s="1" t="s">
        <v>283</v>
      </c>
      <c r="O710" s="1" t="s">
        <v>1133</v>
      </c>
      <c r="P710" s="2">
        <v>43803.4166666667</v>
      </c>
      <c r="Q710" s="1" t="s">
        <v>74</v>
      </c>
      <c r="R710" s="1"/>
      <c r="S710" s="1"/>
      <c r="T710" s="1">
        <v>3302403.0</v>
      </c>
      <c r="U710" s="1" t="s">
        <v>1371</v>
      </c>
      <c r="V710" s="1" t="s">
        <v>287</v>
      </c>
      <c r="W710" s="1" t="s">
        <v>288</v>
      </c>
      <c r="X710" s="1"/>
      <c r="Y710" s="1" t="str">
        <f>"02001035027201957"</f>
        <v>02001035027201957</v>
      </c>
      <c r="Z710" s="1" t="s">
        <v>128</v>
      </c>
      <c r="AA710" s="1" t="s">
        <v>1449</v>
      </c>
      <c r="AB710" s="1" t="str">
        <f>"33000167100750"</f>
        <v>33000167100750</v>
      </c>
      <c r="AC710" s="1"/>
      <c r="AD710" s="1"/>
      <c r="AE710" s="1"/>
      <c r="AF710" s="1">
        <v>-40.419167</v>
      </c>
      <c r="AG710" s="1">
        <v>-22.373333</v>
      </c>
      <c r="AH710" s="1" t="s">
        <v>2855</v>
      </c>
      <c r="AI710" s="1"/>
      <c r="AJ710" s="1" t="s">
        <v>172</v>
      </c>
      <c r="AK710" s="1"/>
      <c r="AL710" s="1" t="s">
        <v>79</v>
      </c>
      <c r="AM710" s="1" t="s">
        <v>65</v>
      </c>
      <c r="AN710" s="1" t="s">
        <v>720</v>
      </c>
      <c r="AO710" s="2">
        <v>44020.0</v>
      </c>
      <c r="AP710" s="2">
        <v>44020.4149074074</v>
      </c>
      <c r="AQ710" s="1" t="s">
        <v>89</v>
      </c>
      <c r="AR710" s="1" t="s">
        <v>1485</v>
      </c>
      <c r="AS710" s="1" t="s">
        <v>1361</v>
      </c>
      <c r="AT710" s="2">
        <v>44269.931099537</v>
      </c>
    </row>
    <row r="711" ht="13.5" customHeight="1">
      <c r="A711" s="1"/>
      <c r="B711" s="1" t="s">
        <v>46</v>
      </c>
      <c r="C711" s="1" t="s">
        <v>47</v>
      </c>
      <c r="D711" s="1"/>
      <c r="E711" s="1" t="s">
        <v>3186</v>
      </c>
      <c r="F711" s="1"/>
      <c r="G711" s="1" t="s">
        <v>49</v>
      </c>
      <c r="H711" s="1" t="s">
        <v>93</v>
      </c>
      <c r="I711" s="1">
        <v>346100.0</v>
      </c>
      <c r="J711" s="1"/>
      <c r="K711" s="1"/>
      <c r="L711" s="1"/>
      <c r="M711" s="1"/>
      <c r="N711" s="1" t="s">
        <v>142</v>
      </c>
      <c r="O711" s="1" t="s">
        <v>143</v>
      </c>
      <c r="P711" s="2">
        <v>43803.3881481482</v>
      </c>
      <c r="Q711" s="1" t="s">
        <v>74</v>
      </c>
      <c r="R711" s="1"/>
      <c r="S711" s="1"/>
      <c r="T711" s="1">
        <v>1507300.0</v>
      </c>
      <c r="U711" s="1" t="s">
        <v>3161</v>
      </c>
      <c r="V711" s="1" t="s">
        <v>193</v>
      </c>
      <c r="W711" s="1" t="s">
        <v>177</v>
      </c>
      <c r="X711" s="1"/>
      <c r="Y711" s="1"/>
      <c r="Z711" s="1" t="s">
        <v>147</v>
      </c>
      <c r="AA711" s="1" t="s">
        <v>3187</v>
      </c>
      <c r="AB711" s="1" t="str">
        <f>"***041952**"</f>
        <v>***041952**</v>
      </c>
      <c r="AC711" s="1"/>
      <c r="AD711" s="1" t="s">
        <v>116</v>
      </c>
      <c r="AE711" s="1"/>
      <c r="AF711" s="1">
        <v>-51.5675</v>
      </c>
      <c r="AG711" s="1">
        <v>-5.772778</v>
      </c>
      <c r="AH711" s="1" t="s">
        <v>3188</v>
      </c>
      <c r="AI711" s="1"/>
      <c r="AJ711" s="1" t="s">
        <v>172</v>
      </c>
      <c r="AK711" s="1"/>
      <c r="AL711" s="1"/>
      <c r="AM711" s="1" t="s">
        <v>65</v>
      </c>
      <c r="AN711" s="1" t="s">
        <v>2164</v>
      </c>
      <c r="AO711" s="1"/>
      <c r="AP711" s="2">
        <v>44215.6727893519</v>
      </c>
      <c r="AQ711" s="1"/>
      <c r="AR711" s="1" t="s">
        <v>3150</v>
      </c>
      <c r="AS711" s="1"/>
      <c r="AT711" s="2">
        <v>44269.931099537</v>
      </c>
    </row>
    <row r="712" ht="13.5" customHeight="1">
      <c r="A712" s="1">
        <v>2036890.0</v>
      </c>
      <c r="B712" s="1" t="s">
        <v>67</v>
      </c>
      <c r="C712" s="1" t="s">
        <v>68</v>
      </c>
      <c r="D712" s="1" t="s">
        <v>46</v>
      </c>
      <c r="E712" s="1" t="s">
        <v>3189</v>
      </c>
      <c r="F712" s="1"/>
      <c r="G712" s="1" t="s">
        <v>70</v>
      </c>
      <c r="H712" s="1" t="s">
        <v>50</v>
      </c>
      <c r="I712" s="1">
        <v>2130.0</v>
      </c>
      <c r="J712" s="1"/>
      <c r="K712" s="1"/>
      <c r="L712" s="1" t="s">
        <v>167</v>
      </c>
      <c r="M712" s="1" t="s">
        <v>3190</v>
      </c>
      <c r="N712" s="1" t="s">
        <v>283</v>
      </c>
      <c r="O712" s="1" t="s">
        <v>1364</v>
      </c>
      <c r="P712" s="2">
        <v>43803.375</v>
      </c>
      <c r="Q712" s="1" t="s">
        <v>74</v>
      </c>
      <c r="R712" s="3">
        <v>43803.0</v>
      </c>
      <c r="S712" s="1"/>
      <c r="T712" s="1">
        <v>5105507.0</v>
      </c>
      <c r="U712" s="1" t="s">
        <v>3191</v>
      </c>
      <c r="V712" s="1" t="s">
        <v>164</v>
      </c>
      <c r="W712" s="1" t="s">
        <v>177</v>
      </c>
      <c r="X712" s="1"/>
      <c r="Y712" s="1" t="str">
        <f>"02013000368202014"</f>
        <v>02013000368202014</v>
      </c>
      <c r="Z712" s="1" t="s">
        <v>128</v>
      </c>
      <c r="AA712" s="1" t="s">
        <v>3192</v>
      </c>
      <c r="AB712" s="1" t="str">
        <f>"***008962**"</f>
        <v>***008962**</v>
      </c>
      <c r="AC712" s="1"/>
      <c r="AD712" s="1"/>
      <c r="AE712" s="1"/>
      <c r="AF712" s="1">
        <v>-59.502777</v>
      </c>
      <c r="AG712" s="1">
        <v>-14.965833</v>
      </c>
      <c r="AH712" s="1" t="s">
        <v>3193</v>
      </c>
      <c r="AI712" s="1"/>
      <c r="AJ712" s="1" t="s">
        <v>167</v>
      </c>
      <c r="AK712" s="1"/>
      <c r="AL712" s="1" t="s">
        <v>79</v>
      </c>
      <c r="AM712" s="1" t="s">
        <v>65</v>
      </c>
      <c r="AN712" s="1" t="s">
        <v>3194</v>
      </c>
      <c r="AO712" s="2">
        <v>43976.0</v>
      </c>
      <c r="AP712" s="2">
        <v>43976.7757291667</v>
      </c>
      <c r="AQ712" s="1" t="s">
        <v>80</v>
      </c>
      <c r="AR712" s="1" t="s">
        <v>1078</v>
      </c>
      <c r="AS712" s="1"/>
      <c r="AT712" s="2">
        <v>44269.931099537</v>
      </c>
    </row>
    <row r="713" ht="13.5" customHeight="1">
      <c r="A713" s="1"/>
      <c r="B713" s="1" t="s">
        <v>46</v>
      </c>
      <c r="C713" s="1" t="s">
        <v>47</v>
      </c>
      <c r="D713" s="1"/>
      <c r="E713" s="1" t="s">
        <v>3195</v>
      </c>
      <c r="F713" s="1"/>
      <c r="G713" s="1" t="s">
        <v>49</v>
      </c>
      <c r="H713" s="1" t="s">
        <v>93</v>
      </c>
      <c r="I713" s="1">
        <v>1000.0</v>
      </c>
      <c r="J713" s="1"/>
      <c r="K713" s="1"/>
      <c r="L713" s="1"/>
      <c r="M713" s="1" t="s">
        <v>3196</v>
      </c>
      <c r="N713" s="1" t="s">
        <v>95</v>
      </c>
      <c r="O713" s="1" t="s">
        <v>96</v>
      </c>
      <c r="P713" s="2">
        <v>43803.3380902778</v>
      </c>
      <c r="Q713" s="1" t="s">
        <v>373</v>
      </c>
      <c r="R713" s="1"/>
      <c r="S713" s="1"/>
      <c r="T713" s="1">
        <v>1600600.0</v>
      </c>
      <c r="U713" s="1" t="s">
        <v>3197</v>
      </c>
      <c r="V713" s="1" t="s">
        <v>797</v>
      </c>
      <c r="W713" s="1" t="s">
        <v>288</v>
      </c>
      <c r="X713" s="1"/>
      <c r="Y713" s="1"/>
      <c r="Z713" s="1" t="s">
        <v>98</v>
      </c>
      <c r="AA713" s="1" t="s">
        <v>3198</v>
      </c>
      <c r="AB713" s="1" t="str">
        <f>"***955512**"</f>
        <v>***955512**</v>
      </c>
      <c r="AC713" s="1"/>
      <c r="AD713" s="1" t="s">
        <v>62</v>
      </c>
      <c r="AE713" s="1"/>
      <c r="AF713" s="1">
        <v>-51.287502</v>
      </c>
      <c r="AG713" s="1">
        <v>-0.131111</v>
      </c>
      <c r="AH713" s="1" t="s">
        <v>3199</v>
      </c>
      <c r="AI713" s="1"/>
      <c r="AJ713" s="1" t="s">
        <v>800</v>
      </c>
      <c r="AK713" s="1"/>
      <c r="AL713" s="1"/>
      <c r="AM713" s="1" t="s">
        <v>65</v>
      </c>
      <c r="AN713" s="1" t="s">
        <v>152</v>
      </c>
      <c r="AO713" s="1"/>
      <c r="AP713" s="2">
        <v>43803.3594212963</v>
      </c>
      <c r="AQ713" s="1"/>
      <c r="AR713" s="1" t="s">
        <v>2340</v>
      </c>
      <c r="AS713" s="1"/>
      <c r="AT713" s="2">
        <v>44269.931099537</v>
      </c>
    </row>
    <row r="714" ht="13.5" customHeight="1">
      <c r="A714" s="1">
        <v>2035337.0</v>
      </c>
      <c r="B714" s="1" t="s">
        <v>67</v>
      </c>
      <c r="C714" s="1" t="s">
        <v>68</v>
      </c>
      <c r="D714" s="1" t="s">
        <v>46</v>
      </c>
      <c r="E714" s="1" t="s">
        <v>3200</v>
      </c>
      <c r="F714" s="1"/>
      <c r="G714" s="1" t="s">
        <v>70</v>
      </c>
      <c r="H714" s="1" t="s">
        <v>50</v>
      </c>
      <c r="I714" s="1">
        <v>20000.0</v>
      </c>
      <c r="J714" s="1"/>
      <c r="K714" s="1"/>
      <c r="L714" s="1" t="s">
        <v>196</v>
      </c>
      <c r="M714" s="1" t="s">
        <v>3201</v>
      </c>
      <c r="N714" s="1" t="s">
        <v>72</v>
      </c>
      <c r="O714" s="1" t="s">
        <v>73</v>
      </c>
      <c r="P714" s="2">
        <v>43803.3333333333</v>
      </c>
      <c r="Q714" s="1" t="s">
        <v>74</v>
      </c>
      <c r="R714" s="3">
        <v>43803.0</v>
      </c>
      <c r="S714" s="1"/>
      <c r="T714" s="1">
        <v>1505809.0</v>
      </c>
      <c r="U714" s="1" t="s">
        <v>3084</v>
      </c>
      <c r="V714" s="1" t="s">
        <v>193</v>
      </c>
      <c r="W714" s="1" t="s">
        <v>177</v>
      </c>
      <c r="X714" s="1"/>
      <c r="Y714" s="1" t="str">
        <f>"02018001540202007"</f>
        <v>02018001540202007</v>
      </c>
      <c r="Z714" s="1" t="s">
        <v>76</v>
      </c>
      <c r="AA714" s="1" t="s">
        <v>3202</v>
      </c>
      <c r="AB714" s="1" t="str">
        <f>"***219011**"</f>
        <v>***219011**</v>
      </c>
      <c r="AC714" s="1"/>
      <c r="AD714" s="1"/>
      <c r="AE714" s="1"/>
      <c r="AF714" s="1">
        <v>-50.395554</v>
      </c>
      <c r="AG714" s="1">
        <v>-3.128889</v>
      </c>
      <c r="AH714" s="1" t="s">
        <v>3203</v>
      </c>
      <c r="AI714" s="1"/>
      <c r="AJ714" s="1" t="s">
        <v>196</v>
      </c>
      <c r="AK714" s="1"/>
      <c r="AL714" s="1" t="s">
        <v>79</v>
      </c>
      <c r="AM714" s="1" t="s">
        <v>65</v>
      </c>
      <c r="AN714" s="1" t="s">
        <v>3087</v>
      </c>
      <c r="AO714" s="2">
        <v>43900.0</v>
      </c>
      <c r="AP714" s="2">
        <v>43900.7278125</v>
      </c>
      <c r="AQ714" s="1" t="s">
        <v>80</v>
      </c>
      <c r="AR714" s="1" t="s">
        <v>1607</v>
      </c>
      <c r="AS714" s="1"/>
      <c r="AT714" s="2">
        <v>44269.931099537</v>
      </c>
    </row>
    <row r="715" ht="13.5" customHeight="1">
      <c r="A715" s="1">
        <v>2035338.0</v>
      </c>
      <c r="B715" s="1" t="s">
        <v>67</v>
      </c>
      <c r="C715" s="1" t="s">
        <v>68</v>
      </c>
      <c r="D715" s="1" t="s">
        <v>46</v>
      </c>
      <c r="E715" s="1" t="s">
        <v>3204</v>
      </c>
      <c r="F715" s="1"/>
      <c r="G715" s="1" t="s">
        <v>70</v>
      </c>
      <c r="H715" s="1" t="s">
        <v>93</v>
      </c>
      <c r="I715" s="1">
        <v>125000.0</v>
      </c>
      <c r="J715" s="1"/>
      <c r="K715" s="1"/>
      <c r="L715" s="1" t="s">
        <v>196</v>
      </c>
      <c r="M715" s="1" t="s">
        <v>3205</v>
      </c>
      <c r="N715" s="1" t="s">
        <v>142</v>
      </c>
      <c r="O715" s="1" t="s">
        <v>143</v>
      </c>
      <c r="P715" s="2">
        <v>43803.3333333333</v>
      </c>
      <c r="Q715" s="1" t="s">
        <v>74</v>
      </c>
      <c r="R715" s="3">
        <v>43803.0</v>
      </c>
      <c r="S715" s="1"/>
      <c r="T715" s="1">
        <v>1505809.0</v>
      </c>
      <c r="U715" s="1" t="s">
        <v>3084</v>
      </c>
      <c r="V715" s="1" t="s">
        <v>193</v>
      </c>
      <c r="W715" s="1" t="s">
        <v>177</v>
      </c>
      <c r="X715" s="1"/>
      <c r="Y715" s="1" t="str">
        <f>"02018001541202043"</f>
        <v>02018001541202043</v>
      </c>
      <c r="Z715" s="1" t="s">
        <v>147</v>
      </c>
      <c r="AA715" s="1" t="s">
        <v>3085</v>
      </c>
      <c r="AB715" s="1" t="str">
        <f>"***452372**"</f>
        <v>***452372**</v>
      </c>
      <c r="AC715" s="1"/>
      <c r="AD715" s="1"/>
      <c r="AE715" s="1"/>
      <c r="AF715" s="1">
        <v>-50.765835</v>
      </c>
      <c r="AG715" s="1">
        <v>-3.428611</v>
      </c>
      <c r="AH715" s="1" t="s">
        <v>3086</v>
      </c>
      <c r="AI715" s="1"/>
      <c r="AJ715" s="1" t="s">
        <v>196</v>
      </c>
      <c r="AK715" s="1"/>
      <c r="AL715" s="1" t="s">
        <v>79</v>
      </c>
      <c r="AM715" s="1" t="s">
        <v>65</v>
      </c>
      <c r="AN715" s="1" t="s">
        <v>3087</v>
      </c>
      <c r="AO715" s="2">
        <v>43900.0</v>
      </c>
      <c r="AP715" s="2">
        <v>43900.7280439815</v>
      </c>
      <c r="AQ715" s="1" t="s">
        <v>80</v>
      </c>
      <c r="AR715" s="1" t="s">
        <v>421</v>
      </c>
      <c r="AS715" s="1"/>
      <c r="AT715" s="2">
        <v>44269.931099537</v>
      </c>
    </row>
    <row r="716" ht="13.5" customHeight="1">
      <c r="A716" s="1">
        <v>2037468.0</v>
      </c>
      <c r="B716" s="1" t="s">
        <v>67</v>
      </c>
      <c r="C716" s="1" t="s">
        <v>68</v>
      </c>
      <c r="D716" s="1" t="s">
        <v>46</v>
      </c>
      <c r="E716" s="1" t="s">
        <v>3206</v>
      </c>
      <c r="F716" s="1"/>
      <c r="G716" s="1" t="s">
        <v>70</v>
      </c>
      <c r="H716" s="1" t="s">
        <v>93</v>
      </c>
      <c r="I716" s="1">
        <v>13000.0</v>
      </c>
      <c r="J716" s="1"/>
      <c r="K716" s="1"/>
      <c r="L716" s="1" t="s">
        <v>172</v>
      </c>
      <c r="M716" s="1" t="s">
        <v>3155</v>
      </c>
      <c r="N716" s="1" t="s">
        <v>72</v>
      </c>
      <c r="O716" s="1" t="s">
        <v>73</v>
      </c>
      <c r="P716" s="2">
        <v>43803.3333333333</v>
      </c>
      <c r="Q716" s="1" t="s">
        <v>74</v>
      </c>
      <c r="R716" s="1"/>
      <c r="S716" s="1"/>
      <c r="T716" s="1">
        <v>3548708.0</v>
      </c>
      <c r="U716" s="1" t="s">
        <v>993</v>
      </c>
      <c r="V716" s="1" t="s">
        <v>58</v>
      </c>
      <c r="W716" s="1" t="s">
        <v>59</v>
      </c>
      <c r="X716" s="1"/>
      <c r="Y716" s="1" t="str">
        <f>"02001036543201907"</f>
        <v>02001036543201907</v>
      </c>
      <c r="Z716" s="1" t="s">
        <v>76</v>
      </c>
      <c r="AA716" s="1" t="s">
        <v>3207</v>
      </c>
      <c r="AB716" s="1" t="str">
        <f>"17198100000177"</f>
        <v>17198100000177</v>
      </c>
      <c r="AC716" s="1"/>
      <c r="AD716" s="1"/>
      <c r="AE716" s="1"/>
      <c r="AF716" s="1">
        <v>-46.586666</v>
      </c>
      <c r="AG716" s="1">
        <v>-23.79611</v>
      </c>
      <c r="AH716" s="1" t="s">
        <v>982</v>
      </c>
      <c r="AI716" s="1"/>
      <c r="AJ716" s="1" t="s">
        <v>172</v>
      </c>
      <c r="AK716" s="1"/>
      <c r="AL716" s="1" t="s">
        <v>79</v>
      </c>
      <c r="AM716" s="1" t="s">
        <v>65</v>
      </c>
      <c r="AN716" s="1" t="s">
        <v>983</v>
      </c>
      <c r="AO716" s="2">
        <v>43998.0</v>
      </c>
      <c r="AP716" s="2">
        <v>43998.5314236111</v>
      </c>
      <c r="AQ716" s="1" t="s">
        <v>80</v>
      </c>
      <c r="AR716" s="1" t="s">
        <v>1136</v>
      </c>
      <c r="AS716" s="1" t="s">
        <v>3177</v>
      </c>
      <c r="AT716" s="2">
        <v>44269.931099537</v>
      </c>
    </row>
    <row r="717" ht="13.5" customHeight="1">
      <c r="A717" s="1">
        <v>2036114.0</v>
      </c>
      <c r="B717" s="1" t="s">
        <v>67</v>
      </c>
      <c r="C717" s="1" t="s">
        <v>68</v>
      </c>
      <c r="D717" s="1" t="s">
        <v>46</v>
      </c>
      <c r="E717" s="1" t="s">
        <v>3208</v>
      </c>
      <c r="F717" s="1"/>
      <c r="G717" s="1" t="s">
        <v>70</v>
      </c>
      <c r="H717" s="1" t="s">
        <v>93</v>
      </c>
      <c r="I717" s="1">
        <v>300.0</v>
      </c>
      <c r="J717" s="1"/>
      <c r="K717" s="1"/>
      <c r="L717" s="1" t="s">
        <v>106</v>
      </c>
      <c r="M717" s="1" t="s">
        <v>3209</v>
      </c>
      <c r="N717" s="1" t="s">
        <v>53</v>
      </c>
      <c r="O717" s="1" t="s">
        <v>54</v>
      </c>
      <c r="P717" s="2">
        <v>43803.3166666667</v>
      </c>
      <c r="Q717" s="1" t="s">
        <v>373</v>
      </c>
      <c r="R717" s="1"/>
      <c r="S717" s="1"/>
      <c r="T717" s="1">
        <v>2301109.0</v>
      </c>
      <c r="U717" s="1" t="s">
        <v>3210</v>
      </c>
      <c r="V717" s="1" t="s">
        <v>112</v>
      </c>
      <c r="W717" s="1" t="s">
        <v>288</v>
      </c>
      <c r="X717" s="1"/>
      <c r="Y717" s="1" t="str">
        <f>"02007004134201983"</f>
        <v>02007004134201983</v>
      </c>
      <c r="Z717" s="1" t="s">
        <v>3211</v>
      </c>
      <c r="AA717" s="1" t="s">
        <v>3212</v>
      </c>
      <c r="AB717" s="1" t="str">
        <f>"***480173**"</f>
        <v>***480173**</v>
      </c>
      <c r="AC717" s="1"/>
      <c r="AD717" s="1" t="s">
        <v>116</v>
      </c>
      <c r="AE717" s="1"/>
      <c r="AF717" s="1">
        <v>0.0</v>
      </c>
      <c r="AG717" s="1">
        <v>0.0</v>
      </c>
      <c r="AH717" s="1" t="s">
        <v>3213</v>
      </c>
      <c r="AI717" s="1"/>
      <c r="AJ717" s="1"/>
      <c r="AK717" s="1"/>
      <c r="AL717" s="1" t="s">
        <v>118</v>
      </c>
      <c r="AM717" s="1"/>
      <c r="AN717" s="1"/>
      <c r="AO717" s="2">
        <v>43936.4478125</v>
      </c>
      <c r="AP717" s="2">
        <v>43936.4478240741</v>
      </c>
      <c r="AQ717" s="1" t="s">
        <v>80</v>
      </c>
      <c r="AR717" s="1" t="s">
        <v>3214</v>
      </c>
      <c r="AS717" s="1"/>
      <c r="AT717" s="2">
        <v>44269.931099537</v>
      </c>
    </row>
    <row r="718" ht="13.5" customHeight="1">
      <c r="A718" s="1"/>
      <c r="B718" s="1" t="s">
        <v>46</v>
      </c>
      <c r="C718" s="1" t="s">
        <v>47</v>
      </c>
      <c r="D718" s="1"/>
      <c r="E718" s="1" t="s">
        <v>3215</v>
      </c>
      <c r="F718" s="1"/>
      <c r="G718" s="1" t="s">
        <v>49</v>
      </c>
      <c r="H718" s="1" t="s">
        <v>93</v>
      </c>
      <c r="I718" s="1">
        <v>227300.0</v>
      </c>
      <c r="J718" s="1"/>
      <c r="K718" s="1"/>
      <c r="L718" s="1"/>
      <c r="M718" s="1" t="s">
        <v>3216</v>
      </c>
      <c r="N718" s="1" t="s">
        <v>142</v>
      </c>
      <c r="O718" s="1" t="s">
        <v>143</v>
      </c>
      <c r="P718" s="2">
        <v>43803.2973611111</v>
      </c>
      <c r="Q718" s="1" t="s">
        <v>74</v>
      </c>
      <c r="R718" s="1"/>
      <c r="S718" s="1"/>
      <c r="T718" s="1">
        <v>1507300.0</v>
      </c>
      <c r="U718" s="1" t="s">
        <v>3161</v>
      </c>
      <c r="V718" s="1" t="s">
        <v>193</v>
      </c>
      <c r="W718" s="1" t="s">
        <v>177</v>
      </c>
      <c r="X718" s="1"/>
      <c r="Y718" s="1"/>
      <c r="Z718" s="1" t="s">
        <v>147</v>
      </c>
      <c r="AA718" s="1" t="s">
        <v>3217</v>
      </c>
      <c r="AB718" s="1" t="str">
        <f>"***338652**"</f>
        <v>***338652**</v>
      </c>
      <c r="AC718" s="1"/>
      <c r="AD718" s="1" t="s">
        <v>116</v>
      </c>
      <c r="AE718" s="1"/>
      <c r="AF718" s="1">
        <v>-51.903611</v>
      </c>
      <c r="AG718" s="1">
        <v>-6.000833</v>
      </c>
      <c r="AH718" s="1" t="s">
        <v>3218</v>
      </c>
      <c r="AI718" s="1"/>
      <c r="AJ718" s="1" t="s">
        <v>172</v>
      </c>
      <c r="AK718" s="1"/>
      <c r="AL718" s="1"/>
      <c r="AM718" s="1" t="s">
        <v>65</v>
      </c>
      <c r="AN718" s="1" t="s">
        <v>2164</v>
      </c>
      <c r="AO718" s="1"/>
      <c r="AP718" s="2">
        <v>44215.6726967593</v>
      </c>
      <c r="AQ718" s="1"/>
      <c r="AR718" s="1" t="s">
        <v>3150</v>
      </c>
      <c r="AS718" s="1"/>
      <c r="AT718" s="2">
        <v>44269.931099537</v>
      </c>
    </row>
    <row r="719" ht="13.5" customHeight="1">
      <c r="A719" s="1"/>
      <c r="B719" s="1" t="s">
        <v>46</v>
      </c>
      <c r="C719" s="1" t="s">
        <v>47</v>
      </c>
      <c r="D719" s="1"/>
      <c r="E719" s="1" t="s">
        <v>3219</v>
      </c>
      <c r="F719" s="1"/>
      <c r="G719" s="1" t="s">
        <v>49</v>
      </c>
      <c r="H719" s="1" t="s">
        <v>93</v>
      </c>
      <c r="I719" s="1">
        <v>279730.0</v>
      </c>
      <c r="J719" s="1"/>
      <c r="K719" s="1"/>
      <c r="L719" s="1"/>
      <c r="M719" s="1" t="s">
        <v>3220</v>
      </c>
      <c r="N719" s="1" t="s">
        <v>142</v>
      </c>
      <c r="O719" s="1" t="s">
        <v>143</v>
      </c>
      <c r="P719" s="2">
        <v>43803.2556365741</v>
      </c>
      <c r="Q719" s="1" t="s">
        <v>74</v>
      </c>
      <c r="R719" s="1"/>
      <c r="S719" s="1"/>
      <c r="T719" s="1">
        <v>1507300.0</v>
      </c>
      <c r="U719" s="1" t="s">
        <v>3161</v>
      </c>
      <c r="V719" s="1" t="s">
        <v>193</v>
      </c>
      <c r="W719" s="1" t="s">
        <v>177</v>
      </c>
      <c r="X719" s="1"/>
      <c r="Y719" s="1"/>
      <c r="Z719" s="1" t="s">
        <v>147</v>
      </c>
      <c r="AA719" s="1" t="s">
        <v>3221</v>
      </c>
      <c r="AB719" s="1" t="str">
        <f>"***847731**"</f>
        <v>***847731**</v>
      </c>
      <c r="AC719" s="1"/>
      <c r="AD719" s="1" t="s">
        <v>116</v>
      </c>
      <c r="AE719" s="1"/>
      <c r="AF719" s="1">
        <v>-51.038056</v>
      </c>
      <c r="AG719" s="1">
        <v>-5.5125</v>
      </c>
      <c r="AH719" s="1" t="s">
        <v>3222</v>
      </c>
      <c r="AI719" s="1"/>
      <c r="AJ719" s="1" t="s">
        <v>172</v>
      </c>
      <c r="AK719" s="1"/>
      <c r="AL719" s="1"/>
      <c r="AM719" s="1" t="s">
        <v>65</v>
      </c>
      <c r="AN719" s="1" t="s">
        <v>2164</v>
      </c>
      <c r="AO719" s="1"/>
      <c r="AP719" s="2">
        <v>44215.6730555556</v>
      </c>
      <c r="AQ719" s="1"/>
      <c r="AR719" s="1" t="s">
        <v>3150</v>
      </c>
      <c r="AS719" s="1"/>
      <c r="AT719" s="2">
        <v>44269.931099537</v>
      </c>
    </row>
    <row r="720" ht="13.5" customHeight="1">
      <c r="A720" s="1"/>
      <c r="B720" s="1" t="s">
        <v>46</v>
      </c>
      <c r="C720" s="1" t="s">
        <v>47</v>
      </c>
      <c r="D720" s="1"/>
      <c r="E720" s="1" t="s">
        <v>3223</v>
      </c>
      <c r="F720" s="1"/>
      <c r="G720" s="1" t="s">
        <v>49</v>
      </c>
      <c r="H720" s="1" t="s">
        <v>93</v>
      </c>
      <c r="I720" s="1">
        <v>200350.0</v>
      </c>
      <c r="J720" s="1"/>
      <c r="K720" s="1"/>
      <c r="L720" s="1"/>
      <c r="M720" s="1" t="s">
        <v>3224</v>
      </c>
      <c r="N720" s="1" t="s">
        <v>142</v>
      </c>
      <c r="O720" s="1" t="s">
        <v>143</v>
      </c>
      <c r="P720" s="2">
        <v>43803.2225462963</v>
      </c>
      <c r="Q720" s="1" t="s">
        <v>74</v>
      </c>
      <c r="R720" s="1"/>
      <c r="S720" s="1"/>
      <c r="T720" s="1">
        <v>1302702.0</v>
      </c>
      <c r="U720" s="1" t="s">
        <v>3147</v>
      </c>
      <c r="V720" s="1" t="s">
        <v>486</v>
      </c>
      <c r="W720" s="1" t="s">
        <v>177</v>
      </c>
      <c r="X720" s="1"/>
      <c r="Y720" s="1"/>
      <c r="Z720" s="1" t="s">
        <v>147</v>
      </c>
      <c r="AA720" s="1" t="s">
        <v>3225</v>
      </c>
      <c r="AB720" s="1" t="str">
        <f>"***461522**"</f>
        <v>***461522**</v>
      </c>
      <c r="AC720" s="1"/>
      <c r="AD720" s="1" t="s">
        <v>116</v>
      </c>
      <c r="AE720" s="1"/>
      <c r="AF720" s="1">
        <v>-61.603333</v>
      </c>
      <c r="AG720" s="1">
        <v>-8.025833</v>
      </c>
      <c r="AH720" s="1" t="s">
        <v>3226</v>
      </c>
      <c r="AI720" s="1"/>
      <c r="AJ720" s="1" t="s">
        <v>172</v>
      </c>
      <c r="AK720" s="1"/>
      <c r="AL720" s="1"/>
      <c r="AM720" s="1" t="s">
        <v>65</v>
      </c>
      <c r="AN720" s="1" t="s">
        <v>2164</v>
      </c>
      <c r="AO720" s="1"/>
      <c r="AP720" s="2">
        <v>44215.6732638889</v>
      </c>
      <c r="AQ720" s="1"/>
      <c r="AR720" s="1" t="s">
        <v>3150</v>
      </c>
      <c r="AS720" s="1"/>
      <c r="AT720" s="2">
        <v>44269.931099537</v>
      </c>
    </row>
    <row r="721" ht="13.5" customHeight="1">
      <c r="A721" s="1">
        <v>2042962.0</v>
      </c>
      <c r="B721" s="1" t="s">
        <v>67</v>
      </c>
      <c r="C721" s="1" t="s">
        <v>68</v>
      </c>
      <c r="D721" s="1" t="s">
        <v>46</v>
      </c>
      <c r="E721" s="1" t="s">
        <v>3227</v>
      </c>
      <c r="F721" s="1"/>
      <c r="G721" s="1" t="s">
        <v>70</v>
      </c>
      <c r="H721" s="1" t="s">
        <v>93</v>
      </c>
      <c r="I721" s="1">
        <v>1200.0</v>
      </c>
      <c r="J721" s="1"/>
      <c r="K721" s="1"/>
      <c r="L721" s="1" t="s">
        <v>533</v>
      </c>
      <c r="M721" s="1" t="s">
        <v>3228</v>
      </c>
      <c r="N721" s="1" t="s">
        <v>108</v>
      </c>
      <c r="O721" s="1" t="s">
        <v>109</v>
      </c>
      <c r="P721" s="2">
        <v>43803.1666666667</v>
      </c>
      <c r="Q721" s="1" t="s">
        <v>74</v>
      </c>
      <c r="R721" s="1"/>
      <c r="S721" s="1"/>
      <c r="T721" s="1">
        <v>5003702.0</v>
      </c>
      <c r="U721" s="1" t="s">
        <v>3229</v>
      </c>
      <c r="V721" s="1" t="s">
        <v>529</v>
      </c>
      <c r="W721" s="1" t="s">
        <v>127</v>
      </c>
      <c r="X721" s="1"/>
      <c r="Y721" s="1" t="str">
        <f>"02014003244201939"</f>
        <v>02014003244201939</v>
      </c>
      <c r="Z721" s="1" t="s">
        <v>226</v>
      </c>
      <c r="AA721" s="1" t="s">
        <v>3230</v>
      </c>
      <c r="AB721" s="1" t="str">
        <f>"18605623000153"</f>
        <v>18605623000153</v>
      </c>
      <c r="AC721" s="1"/>
      <c r="AD721" s="1"/>
      <c r="AE721" s="1"/>
      <c r="AF721" s="1">
        <v>-54.594997</v>
      </c>
      <c r="AG721" s="1">
        <v>-20.45639</v>
      </c>
      <c r="AH721" s="1" t="s">
        <v>3231</v>
      </c>
      <c r="AI721" s="1"/>
      <c r="AJ721" s="1" t="s">
        <v>533</v>
      </c>
      <c r="AK721" s="1"/>
      <c r="AL721" s="1" t="s">
        <v>79</v>
      </c>
      <c r="AM721" s="1" t="s">
        <v>65</v>
      </c>
      <c r="AN721" s="1" t="s">
        <v>1497</v>
      </c>
      <c r="AO721" s="2">
        <v>44222.0</v>
      </c>
      <c r="AP721" s="2">
        <v>44222.8085532407</v>
      </c>
      <c r="AQ721" s="1" t="s">
        <v>80</v>
      </c>
      <c r="AR721" s="1" t="s">
        <v>1136</v>
      </c>
      <c r="AS721" s="1"/>
      <c r="AT721" s="2">
        <v>44269.931099537</v>
      </c>
    </row>
    <row r="722" ht="13.5" customHeight="1">
      <c r="A722" s="1">
        <v>2034841.0</v>
      </c>
      <c r="B722" s="1" t="s">
        <v>67</v>
      </c>
      <c r="C722" s="1" t="s">
        <v>68</v>
      </c>
      <c r="D722" s="1" t="s">
        <v>46</v>
      </c>
      <c r="E722" s="1" t="s">
        <v>3232</v>
      </c>
      <c r="F722" s="1"/>
      <c r="G722" s="1" t="s">
        <v>70</v>
      </c>
      <c r="H722" s="1" t="s">
        <v>50</v>
      </c>
      <c r="I722" s="1">
        <v>60000.0</v>
      </c>
      <c r="J722" s="1"/>
      <c r="K722" s="1"/>
      <c r="L722" s="1" t="s">
        <v>196</v>
      </c>
      <c r="M722" s="1" t="s">
        <v>3233</v>
      </c>
      <c r="N722" s="1" t="s">
        <v>142</v>
      </c>
      <c r="O722" s="1" t="s">
        <v>143</v>
      </c>
      <c r="P722" s="2">
        <v>43802.9583333333</v>
      </c>
      <c r="Q722" s="1" t="s">
        <v>373</v>
      </c>
      <c r="R722" s="3">
        <v>43802.0</v>
      </c>
      <c r="S722" s="1"/>
      <c r="T722" s="1">
        <v>1505809.0</v>
      </c>
      <c r="U722" s="1" t="s">
        <v>3084</v>
      </c>
      <c r="V722" s="1" t="s">
        <v>193</v>
      </c>
      <c r="W722" s="1" t="s">
        <v>177</v>
      </c>
      <c r="X722" s="1"/>
      <c r="Y722" s="1" t="str">
        <f>"02018001258202011"</f>
        <v>02018001258202011</v>
      </c>
      <c r="Z722" s="1" t="s">
        <v>147</v>
      </c>
      <c r="AA722" s="1" t="s">
        <v>3182</v>
      </c>
      <c r="AB722" s="1" t="str">
        <f t="shared" ref="AB722:AB723" si="31">"***544512**"</f>
        <v>***544512**</v>
      </c>
      <c r="AC722" s="1"/>
      <c r="AD722" s="1"/>
      <c r="AE722" s="1"/>
      <c r="AF722" s="1">
        <v>-50.526943</v>
      </c>
      <c r="AG722" s="1">
        <v>-3.150278</v>
      </c>
      <c r="AH722" s="1" t="s">
        <v>3183</v>
      </c>
      <c r="AI722" s="1"/>
      <c r="AJ722" s="1" t="s">
        <v>196</v>
      </c>
      <c r="AK722" s="1"/>
      <c r="AL722" s="1" t="s">
        <v>79</v>
      </c>
      <c r="AM722" s="1" t="s">
        <v>65</v>
      </c>
      <c r="AN722" s="1" t="s">
        <v>3087</v>
      </c>
      <c r="AO722" s="2">
        <v>43892.0</v>
      </c>
      <c r="AP722" s="2">
        <v>43892.4619212963</v>
      </c>
      <c r="AQ722" s="1" t="s">
        <v>80</v>
      </c>
      <c r="AR722" s="1" t="s">
        <v>1607</v>
      </c>
      <c r="AS722" s="1"/>
      <c r="AT722" s="2">
        <v>44269.931099537</v>
      </c>
    </row>
    <row r="723" ht="13.5" customHeight="1">
      <c r="A723" s="1">
        <v>2034840.0</v>
      </c>
      <c r="B723" s="1" t="s">
        <v>67</v>
      </c>
      <c r="C723" s="1" t="s">
        <v>68</v>
      </c>
      <c r="D723" s="1" t="s">
        <v>46</v>
      </c>
      <c r="E723" s="1" t="s">
        <v>3234</v>
      </c>
      <c r="F723" s="1"/>
      <c r="G723" s="1" t="s">
        <v>70</v>
      </c>
      <c r="H723" s="1" t="s">
        <v>93</v>
      </c>
      <c r="I723" s="1">
        <v>330000.0</v>
      </c>
      <c r="J723" s="1"/>
      <c r="K723" s="1"/>
      <c r="L723" s="1" t="s">
        <v>196</v>
      </c>
      <c r="M723" s="1" t="s">
        <v>3235</v>
      </c>
      <c r="N723" s="1" t="s">
        <v>142</v>
      </c>
      <c r="O723" s="1" t="s">
        <v>143</v>
      </c>
      <c r="P723" s="2">
        <v>43802.9166666667</v>
      </c>
      <c r="Q723" s="1" t="s">
        <v>373</v>
      </c>
      <c r="R723" s="3">
        <v>43802.0</v>
      </c>
      <c r="S723" s="1"/>
      <c r="T723" s="1">
        <v>1505809.0</v>
      </c>
      <c r="U723" s="1" t="s">
        <v>3084</v>
      </c>
      <c r="V723" s="1" t="s">
        <v>193</v>
      </c>
      <c r="W723" s="1" t="s">
        <v>177</v>
      </c>
      <c r="X723" s="1"/>
      <c r="Y723" s="1" t="str">
        <f>"02018001257202077"</f>
        <v>02018001257202077</v>
      </c>
      <c r="Z723" s="1" t="s">
        <v>147</v>
      </c>
      <c r="AA723" s="1" t="s">
        <v>3182</v>
      </c>
      <c r="AB723" s="1" t="str">
        <f t="shared" si="31"/>
        <v>***544512**</v>
      </c>
      <c r="AC723" s="1"/>
      <c r="AD723" s="1"/>
      <c r="AE723" s="1"/>
      <c r="AF723" s="1">
        <v>-50.526943</v>
      </c>
      <c r="AG723" s="1">
        <v>-3.150278</v>
      </c>
      <c r="AH723" s="1" t="s">
        <v>3183</v>
      </c>
      <c r="AI723" s="1"/>
      <c r="AJ723" s="1" t="s">
        <v>196</v>
      </c>
      <c r="AK723" s="1"/>
      <c r="AL723" s="1" t="s">
        <v>79</v>
      </c>
      <c r="AM723" s="1" t="s">
        <v>65</v>
      </c>
      <c r="AN723" s="1" t="s">
        <v>3087</v>
      </c>
      <c r="AO723" s="2">
        <v>43892.0</v>
      </c>
      <c r="AP723" s="2">
        <v>43892.4618055556</v>
      </c>
      <c r="AQ723" s="1" t="s">
        <v>80</v>
      </c>
      <c r="AR723" s="1" t="s">
        <v>392</v>
      </c>
      <c r="AS723" s="1"/>
      <c r="AT723" s="2">
        <v>44269.931099537</v>
      </c>
    </row>
    <row r="724" ht="13.5" customHeight="1">
      <c r="A724" s="1"/>
      <c r="B724" s="1" t="s">
        <v>46</v>
      </c>
      <c r="C724" s="1" t="s">
        <v>47</v>
      </c>
      <c r="D724" s="1"/>
      <c r="E724" s="1" t="s">
        <v>3236</v>
      </c>
      <c r="F724" s="1"/>
      <c r="G724" s="1" t="s">
        <v>49</v>
      </c>
      <c r="H724" s="1" t="s">
        <v>50</v>
      </c>
      <c r="I724" s="1">
        <v>1.47E7</v>
      </c>
      <c r="J724" s="1"/>
      <c r="K724" s="1" t="s">
        <v>140</v>
      </c>
      <c r="L724" s="1"/>
      <c r="M724" s="1" t="s">
        <v>3237</v>
      </c>
      <c r="N724" s="1" t="s">
        <v>283</v>
      </c>
      <c r="O724" s="1" t="s">
        <v>1133</v>
      </c>
      <c r="P724" s="2">
        <v>43802.82125</v>
      </c>
      <c r="Q724" s="1" t="s">
        <v>74</v>
      </c>
      <c r="R724" s="1"/>
      <c r="S724" s="1"/>
      <c r="T724" s="1">
        <v>3302403.0</v>
      </c>
      <c r="U724" s="1" t="s">
        <v>1371</v>
      </c>
      <c r="V724" s="1" t="s">
        <v>287</v>
      </c>
      <c r="W724" s="1" t="s">
        <v>288</v>
      </c>
      <c r="X724" s="1"/>
      <c r="Y724" s="1"/>
      <c r="Z724" s="1" t="s">
        <v>128</v>
      </c>
      <c r="AA724" s="1" t="s">
        <v>1449</v>
      </c>
      <c r="AB724" s="1" t="str">
        <f>"33000167100750"</f>
        <v>33000167100750</v>
      </c>
      <c r="AC724" s="1"/>
      <c r="AD724" s="1" t="s">
        <v>62</v>
      </c>
      <c r="AE724" s="1"/>
      <c r="AF724" s="1">
        <v>-40.419167</v>
      </c>
      <c r="AG724" s="1">
        <v>-22.373333</v>
      </c>
      <c r="AH724" s="1" t="s">
        <v>2855</v>
      </c>
      <c r="AI724" s="1"/>
      <c r="AJ724" s="1" t="s">
        <v>172</v>
      </c>
      <c r="AK724" s="1"/>
      <c r="AL724" s="1"/>
      <c r="AM724" s="1" t="s">
        <v>65</v>
      </c>
      <c r="AN724" s="1" t="s">
        <v>720</v>
      </c>
      <c r="AO724" s="1"/>
      <c r="AP724" s="2">
        <v>44013.7229282407</v>
      </c>
      <c r="AQ724" s="1"/>
      <c r="AR724" s="1" t="s">
        <v>1360</v>
      </c>
      <c r="AS724" s="1" t="s">
        <v>3153</v>
      </c>
      <c r="AT724" s="2">
        <v>44269.931099537</v>
      </c>
    </row>
    <row r="725" ht="13.5" customHeight="1">
      <c r="A725" s="1">
        <v>2035336.0</v>
      </c>
      <c r="B725" s="1" t="s">
        <v>67</v>
      </c>
      <c r="C725" s="1" t="s">
        <v>68</v>
      </c>
      <c r="D725" s="1" t="s">
        <v>46</v>
      </c>
      <c r="E725" s="1" t="s">
        <v>3238</v>
      </c>
      <c r="F725" s="1"/>
      <c r="G725" s="1" t="s">
        <v>70</v>
      </c>
      <c r="H725" s="1" t="s">
        <v>93</v>
      </c>
      <c r="I725" s="1">
        <v>420000.0</v>
      </c>
      <c r="J725" s="1"/>
      <c r="K725" s="1"/>
      <c r="L725" s="1" t="s">
        <v>196</v>
      </c>
      <c r="M725" s="1" t="s">
        <v>3239</v>
      </c>
      <c r="N725" s="1" t="s">
        <v>142</v>
      </c>
      <c r="O725" s="1" t="s">
        <v>143</v>
      </c>
      <c r="P725" s="2">
        <v>43802.75</v>
      </c>
      <c r="Q725" s="1" t="s">
        <v>74</v>
      </c>
      <c r="R725" s="3">
        <v>43802.0</v>
      </c>
      <c r="S725" s="1"/>
      <c r="T725" s="1">
        <v>1505809.0</v>
      </c>
      <c r="U725" s="1" t="s">
        <v>3084</v>
      </c>
      <c r="V725" s="1" t="s">
        <v>193</v>
      </c>
      <c r="W725" s="1" t="s">
        <v>177</v>
      </c>
      <c r="X725" s="1"/>
      <c r="Y725" s="1" t="str">
        <f>"02018001539202074"</f>
        <v>02018001539202074</v>
      </c>
      <c r="Z725" s="1" t="s">
        <v>147</v>
      </c>
      <c r="AA725" s="1" t="s">
        <v>3202</v>
      </c>
      <c r="AB725" s="1" t="str">
        <f>"***219011**"</f>
        <v>***219011**</v>
      </c>
      <c r="AC725" s="1"/>
      <c r="AD725" s="1"/>
      <c r="AE725" s="1"/>
      <c r="AF725" s="1">
        <v>-50.395554</v>
      </c>
      <c r="AG725" s="1">
        <v>-3.128889</v>
      </c>
      <c r="AH725" s="1" t="s">
        <v>3203</v>
      </c>
      <c r="AI725" s="1"/>
      <c r="AJ725" s="1" t="s">
        <v>196</v>
      </c>
      <c r="AK725" s="1"/>
      <c r="AL725" s="1" t="s">
        <v>79</v>
      </c>
      <c r="AM725" s="1" t="s">
        <v>65</v>
      </c>
      <c r="AN725" s="1" t="s">
        <v>3087</v>
      </c>
      <c r="AO725" s="2">
        <v>43900.0</v>
      </c>
      <c r="AP725" s="2">
        <v>43900.7276041667</v>
      </c>
      <c r="AQ725" s="1" t="s">
        <v>80</v>
      </c>
      <c r="AR725" s="1" t="s">
        <v>392</v>
      </c>
      <c r="AS725" s="1"/>
      <c r="AT725" s="2">
        <v>44269.931099537</v>
      </c>
    </row>
    <row r="726" ht="13.5" customHeight="1">
      <c r="A726" s="1">
        <v>2044173.0</v>
      </c>
      <c r="B726" s="1" t="s">
        <v>67</v>
      </c>
      <c r="C726" s="1" t="s">
        <v>68</v>
      </c>
      <c r="D726" s="1" t="s">
        <v>46</v>
      </c>
      <c r="E726" s="1" t="s">
        <v>3240</v>
      </c>
      <c r="F726" s="1"/>
      <c r="G726" s="1" t="s">
        <v>70</v>
      </c>
      <c r="H726" s="1" t="s">
        <v>50</v>
      </c>
      <c r="I726" s="1">
        <v>3.5055E7</v>
      </c>
      <c r="J726" s="1"/>
      <c r="K726" s="1"/>
      <c r="L726" s="1" t="s">
        <v>172</v>
      </c>
      <c r="M726" s="1" t="s">
        <v>3241</v>
      </c>
      <c r="N726" s="1" t="s">
        <v>72</v>
      </c>
      <c r="O726" s="1" t="s">
        <v>213</v>
      </c>
      <c r="P726" s="2">
        <v>43802.75</v>
      </c>
      <c r="Q726" s="1" t="s">
        <v>74</v>
      </c>
      <c r="R726" s="3">
        <v>43983.0</v>
      </c>
      <c r="S726" s="1"/>
      <c r="T726" s="1">
        <v>5300108.0</v>
      </c>
      <c r="U726" s="1" t="s">
        <v>1541</v>
      </c>
      <c r="V726" s="1" t="s">
        <v>1542</v>
      </c>
      <c r="W726" s="1" t="s">
        <v>288</v>
      </c>
      <c r="X726" s="1"/>
      <c r="Y726" s="1" t="str">
        <f>"02001034561201946"</f>
        <v>02001034561201946</v>
      </c>
      <c r="Z726" s="1" t="s">
        <v>215</v>
      </c>
      <c r="AA726" s="1" t="s">
        <v>289</v>
      </c>
      <c r="AB726" s="1" t="str">
        <f>"33000167000101"</f>
        <v>33000167000101</v>
      </c>
      <c r="AC726" s="1"/>
      <c r="AD726" s="1"/>
      <c r="AE726" s="1"/>
      <c r="AF726" s="1">
        <v>-47.861942</v>
      </c>
      <c r="AG726" s="1">
        <v>-15.767222</v>
      </c>
      <c r="AH726" s="1" t="s">
        <v>2450</v>
      </c>
      <c r="AI726" s="1"/>
      <c r="AJ726" s="1" t="s">
        <v>172</v>
      </c>
      <c r="AK726" s="1"/>
      <c r="AL726" s="1" t="s">
        <v>79</v>
      </c>
      <c r="AM726" s="1" t="s">
        <v>65</v>
      </c>
      <c r="AN726" s="1" t="s">
        <v>720</v>
      </c>
      <c r="AO726" s="2">
        <v>44264.0</v>
      </c>
      <c r="AP726" s="2">
        <v>44264.6447569444</v>
      </c>
      <c r="AQ726" s="1" t="s">
        <v>80</v>
      </c>
      <c r="AR726" s="1" t="s">
        <v>1050</v>
      </c>
      <c r="AS726" s="1" t="s">
        <v>3242</v>
      </c>
      <c r="AT726" s="2">
        <v>44269.931099537</v>
      </c>
    </row>
    <row r="727" ht="13.5" customHeight="1">
      <c r="A727" s="1"/>
      <c r="B727" s="1" t="s">
        <v>46</v>
      </c>
      <c r="C727" s="1" t="s">
        <v>47</v>
      </c>
      <c r="D727" s="1"/>
      <c r="E727" s="1" t="s">
        <v>3243</v>
      </c>
      <c r="F727" s="1"/>
      <c r="G727" s="1" t="s">
        <v>49</v>
      </c>
      <c r="H727" s="1" t="s">
        <v>50</v>
      </c>
      <c r="I727" s="1">
        <v>700.0</v>
      </c>
      <c r="J727" s="1"/>
      <c r="K727" s="1" t="s">
        <v>51</v>
      </c>
      <c r="L727" s="1"/>
      <c r="M727" s="1" t="s">
        <v>3244</v>
      </c>
      <c r="N727" s="1" t="s">
        <v>53</v>
      </c>
      <c r="O727" s="1" t="s">
        <v>54</v>
      </c>
      <c r="P727" s="2">
        <v>43802.6727777778</v>
      </c>
      <c r="Q727" s="1" t="s">
        <v>373</v>
      </c>
      <c r="R727" s="1"/>
      <c r="S727" s="1"/>
      <c r="T727" s="1">
        <v>5008305.0</v>
      </c>
      <c r="U727" s="1" t="s">
        <v>2399</v>
      </c>
      <c r="V727" s="1" t="s">
        <v>529</v>
      </c>
      <c r="W727" s="1" t="s">
        <v>59</v>
      </c>
      <c r="X727" s="1"/>
      <c r="Y727" s="1"/>
      <c r="Z727" s="1" t="s">
        <v>60</v>
      </c>
      <c r="AA727" s="1" t="s">
        <v>3245</v>
      </c>
      <c r="AB727" s="1" t="str">
        <f>"***991578**"</f>
        <v>***991578**</v>
      </c>
      <c r="AC727" s="1"/>
      <c r="AD727" s="1" t="s">
        <v>62</v>
      </c>
      <c r="AE727" s="1"/>
      <c r="AF727" s="1">
        <v>-51.633335</v>
      </c>
      <c r="AG727" s="1">
        <v>-20.793333</v>
      </c>
      <c r="AH727" s="1" t="s">
        <v>3246</v>
      </c>
      <c r="AI727" s="1"/>
      <c r="AJ727" s="1" t="s">
        <v>533</v>
      </c>
      <c r="AK727" s="1"/>
      <c r="AL727" s="1"/>
      <c r="AM727" s="1" t="s">
        <v>65</v>
      </c>
      <c r="AN727" s="1" t="s">
        <v>2402</v>
      </c>
      <c r="AO727" s="1"/>
      <c r="AP727" s="2">
        <v>43802.6809606482</v>
      </c>
      <c r="AQ727" s="1"/>
      <c r="AR727" s="1" t="s">
        <v>3247</v>
      </c>
      <c r="AS727" s="1" t="s">
        <v>3248</v>
      </c>
      <c r="AT727" s="2">
        <v>44269.931099537</v>
      </c>
    </row>
    <row r="728" ht="13.5" customHeight="1">
      <c r="A728" s="1">
        <v>2034816.0</v>
      </c>
      <c r="B728" s="1" t="s">
        <v>67</v>
      </c>
      <c r="C728" s="1" t="s">
        <v>68</v>
      </c>
      <c r="D728" s="1" t="s">
        <v>46</v>
      </c>
      <c r="E728" s="1" t="s">
        <v>3249</v>
      </c>
      <c r="F728" s="1"/>
      <c r="G728" s="1" t="s">
        <v>70</v>
      </c>
      <c r="H728" s="1" t="s">
        <v>93</v>
      </c>
      <c r="I728" s="1">
        <v>11100.0</v>
      </c>
      <c r="J728" s="1"/>
      <c r="K728" s="1"/>
      <c r="L728" s="1" t="s">
        <v>386</v>
      </c>
      <c r="M728" s="1" t="s">
        <v>3250</v>
      </c>
      <c r="N728" s="1" t="s">
        <v>142</v>
      </c>
      <c r="O728" s="1" t="s">
        <v>143</v>
      </c>
      <c r="P728" s="2">
        <v>43802.6666666667</v>
      </c>
      <c r="Q728" s="1" t="s">
        <v>373</v>
      </c>
      <c r="R728" s="3">
        <v>43802.0</v>
      </c>
      <c r="S728" s="1"/>
      <c r="T728" s="1">
        <v>1721000.0</v>
      </c>
      <c r="U728" s="1" t="s">
        <v>2155</v>
      </c>
      <c r="V728" s="1" t="s">
        <v>2156</v>
      </c>
      <c r="W728" s="1" t="s">
        <v>127</v>
      </c>
      <c r="X728" s="1"/>
      <c r="Y728" s="1" t="str">
        <f>"02029001491201931"</f>
        <v>02029001491201931</v>
      </c>
      <c r="Z728" s="1" t="s">
        <v>147</v>
      </c>
      <c r="AA728" s="1" t="s">
        <v>3251</v>
      </c>
      <c r="AB728" s="1" t="str">
        <f>"***407822**"</f>
        <v>***407822**</v>
      </c>
      <c r="AC728" s="1"/>
      <c r="AD728" s="1"/>
      <c r="AE728" s="1"/>
      <c r="AF728" s="1">
        <v>-48.332775</v>
      </c>
      <c r="AG728" s="1">
        <v>-10.208611</v>
      </c>
      <c r="AH728" s="1" t="s">
        <v>3252</v>
      </c>
      <c r="AI728" s="1"/>
      <c r="AJ728" s="1" t="s">
        <v>386</v>
      </c>
      <c r="AK728" s="1"/>
      <c r="AL728" s="1" t="s">
        <v>79</v>
      </c>
      <c r="AM728" s="1" t="s">
        <v>65</v>
      </c>
      <c r="AN728" s="1" t="s">
        <v>391</v>
      </c>
      <c r="AO728" s="2">
        <v>43892.0</v>
      </c>
      <c r="AP728" s="2">
        <v>43892.4292708333</v>
      </c>
      <c r="AQ728" s="1" t="s">
        <v>80</v>
      </c>
      <c r="AR728" s="1" t="s">
        <v>1291</v>
      </c>
      <c r="AS728" s="1"/>
      <c r="AT728" s="2">
        <v>44269.931099537</v>
      </c>
    </row>
    <row r="729" ht="13.5" customHeight="1">
      <c r="A729" s="1">
        <v>2035321.0</v>
      </c>
      <c r="B729" s="1" t="s">
        <v>67</v>
      </c>
      <c r="C729" s="1" t="s">
        <v>68</v>
      </c>
      <c r="D729" s="1" t="s">
        <v>46</v>
      </c>
      <c r="E729" s="1" t="s">
        <v>3253</v>
      </c>
      <c r="F729" s="1"/>
      <c r="G729" s="1" t="s">
        <v>70</v>
      </c>
      <c r="H729" s="1" t="s">
        <v>50</v>
      </c>
      <c r="I729" s="1">
        <v>20000.0</v>
      </c>
      <c r="J729" s="1"/>
      <c r="K729" s="1"/>
      <c r="L729" s="1" t="s">
        <v>196</v>
      </c>
      <c r="M729" s="1" t="s">
        <v>3254</v>
      </c>
      <c r="N729" s="1" t="s">
        <v>72</v>
      </c>
      <c r="O729" s="1" t="s">
        <v>73</v>
      </c>
      <c r="P729" s="2">
        <v>43802.6666666667</v>
      </c>
      <c r="Q729" s="1" t="s">
        <v>74</v>
      </c>
      <c r="R729" s="3">
        <v>43802.0</v>
      </c>
      <c r="S729" s="1"/>
      <c r="T729" s="1">
        <v>1505809.0</v>
      </c>
      <c r="U729" s="1" t="s">
        <v>3084</v>
      </c>
      <c r="V729" s="1" t="s">
        <v>193</v>
      </c>
      <c r="W729" s="1" t="s">
        <v>177</v>
      </c>
      <c r="X729" s="1"/>
      <c r="Y729" s="1" t="str">
        <f>"02018001537202085"</f>
        <v>02018001537202085</v>
      </c>
      <c r="Z729" s="1" t="s">
        <v>76</v>
      </c>
      <c r="AA729" s="1" t="s">
        <v>3202</v>
      </c>
      <c r="AB729" s="1" t="str">
        <f>"***219011**"</f>
        <v>***219011**</v>
      </c>
      <c r="AC729" s="1"/>
      <c r="AD729" s="1"/>
      <c r="AE729" s="1"/>
      <c r="AF729" s="1">
        <v>-50.445831</v>
      </c>
      <c r="AG729" s="1">
        <v>-3.211389</v>
      </c>
      <c r="AH729" s="1" t="s">
        <v>3255</v>
      </c>
      <c r="AI729" s="1"/>
      <c r="AJ729" s="1" t="s">
        <v>196</v>
      </c>
      <c r="AK729" s="1"/>
      <c r="AL729" s="1" t="s">
        <v>79</v>
      </c>
      <c r="AM729" s="1" t="s">
        <v>65</v>
      </c>
      <c r="AN729" s="1" t="s">
        <v>3087</v>
      </c>
      <c r="AO729" s="2">
        <v>43900.0</v>
      </c>
      <c r="AP729" s="2">
        <v>43900.6948611111</v>
      </c>
      <c r="AQ729" s="1" t="s">
        <v>80</v>
      </c>
      <c r="AR729" s="1" t="s">
        <v>1607</v>
      </c>
      <c r="AS729" s="1"/>
      <c r="AT729" s="2">
        <v>44269.931099537</v>
      </c>
    </row>
    <row r="730" ht="13.5" customHeight="1">
      <c r="A730" s="1"/>
      <c r="B730" s="1" t="s">
        <v>46</v>
      </c>
      <c r="C730" s="1" t="s">
        <v>47</v>
      </c>
      <c r="D730" s="1"/>
      <c r="E730" s="1" t="s">
        <v>3256</v>
      </c>
      <c r="F730" s="1"/>
      <c r="G730" s="1" t="s">
        <v>49</v>
      </c>
      <c r="H730" s="1" t="s">
        <v>50</v>
      </c>
      <c r="I730" s="1">
        <v>700.0</v>
      </c>
      <c r="J730" s="1"/>
      <c r="K730" s="1" t="s">
        <v>51</v>
      </c>
      <c r="L730" s="1"/>
      <c r="M730" s="1" t="s">
        <v>3257</v>
      </c>
      <c r="N730" s="1" t="s">
        <v>53</v>
      </c>
      <c r="O730" s="1" t="s">
        <v>54</v>
      </c>
      <c r="P730" s="2">
        <v>43802.6475578704</v>
      </c>
      <c r="Q730" s="1" t="s">
        <v>373</v>
      </c>
      <c r="R730" s="1"/>
      <c r="S730" s="1"/>
      <c r="T730" s="1">
        <v>5008305.0</v>
      </c>
      <c r="U730" s="1" t="s">
        <v>2399</v>
      </c>
      <c r="V730" s="1" t="s">
        <v>529</v>
      </c>
      <c r="W730" s="1" t="s">
        <v>59</v>
      </c>
      <c r="X730" s="1"/>
      <c r="Y730" s="1"/>
      <c r="Z730" s="1" t="s">
        <v>60</v>
      </c>
      <c r="AA730" s="1" t="s">
        <v>3245</v>
      </c>
      <c r="AB730" s="1" t="str">
        <f>"***991578**"</f>
        <v>***991578**</v>
      </c>
      <c r="AC730" s="1"/>
      <c r="AD730" s="1" t="s">
        <v>62</v>
      </c>
      <c r="AE730" s="1"/>
      <c r="AF730" s="1">
        <v>-51.633335</v>
      </c>
      <c r="AG730" s="1">
        <v>-20.793333</v>
      </c>
      <c r="AH730" s="1" t="s">
        <v>3258</v>
      </c>
      <c r="AI730" s="1"/>
      <c r="AJ730" s="1" t="s">
        <v>533</v>
      </c>
      <c r="AK730" s="1"/>
      <c r="AL730" s="1"/>
      <c r="AM730" s="1" t="s">
        <v>65</v>
      </c>
      <c r="AN730" s="1" t="s">
        <v>2402</v>
      </c>
      <c r="AO730" s="1"/>
      <c r="AP730" s="2">
        <v>43802.6704976852</v>
      </c>
      <c r="AQ730" s="1"/>
      <c r="AR730" s="1" t="s">
        <v>3259</v>
      </c>
      <c r="AS730" s="1"/>
      <c r="AT730" s="2">
        <v>44269.931099537</v>
      </c>
    </row>
    <row r="731" ht="13.5" customHeight="1">
      <c r="A731" s="1">
        <v>2035335.0</v>
      </c>
      <c r="B731" s="1" t="s">
        <v>67</v>
      </c>
      <c r="C731" s="1" t="s">
        <v>68</v>
      </c>
      <c r="D731" s="1" t="s">
        <v>46</v>
      </c>
      <c r="E731" s="1" t="s">
        <v>3260</v>
      </c>
      <c r="F731" s="1"/>
      <c r="G731" s="1" t="s">
        <v>70</v>
      </c>
      <c r="H731" s="1" t="s">
        <v>93</v>
      </c>
      <c r="I731" s="1">
        <v>1020000.0</v>
      </c>
      <c r="J731" s="1"/>
      <c r="K731" s="1"/>
      <c r="L731" s="1" t="s">
        <v>196</v>
      </c>
      <c r="M731" s="1" t="s">
        <v>3261</v>
      </c>
      <c r="N731" s="1" t="s">
        <v>142</v>
      </c>
      <c r="O731" s="1" t="s">
        <v>143</v>
      </c>
      <c r="P731" s="2">
        <v>43802.625</v>
      </c>
      <c r="Q731" s="1" t="s">
        <v>74</v>
      </c>
      <c r="R731" s="3">
        <v>43802.0</v>
      </c>
      <c r="S731" s="1"/>
      <c r="T731" s="1">
        <v>1505809.0</v>
      </c>
      <c r="U731" s="1" t="s">
        <v>3084</v>
      </c>
      <c r="V731" s="1" t="s">
        <v>193</v>
      </c>
      <c r="W731" s="1" t="s">
        <v>177</v>
      </c>
      <c r="X731" s="1"/>
      <c r="Y731" s="1" t="str">
        <f>"02018001538202020"</f>
        <v>02018001538202020</v>
      </c>
      <c r="Z731" s="1" t="s">
        <v>147</v>
      </c>
      <c r="AA731" s="1" t="s">
        <v>3202</v>
      </c>
      <c r="AB731" s="1" t="str">
        <f>"***219011**"</f>
        <v>***219011**</v>
      </c>
      <c r="AC731" s="1"/>
      <c r="AD731" s="1"/>
      <c r="AE731" s="1"/>
      <c r="AF731" s="1">
        <v>-50.445831</v>
      </c>
      <c r="AG731" s="1">
        <v>-3.211389</v>
      </c>
      <c r="AH731" s="1" t="s">
        <v>3203</v>
      </c>
      <c r="AI731" s="1"/>
      <c r="AJ731" s="1" t="s">
        <v>196</v>
      </c>
      <c r="AK731" s="1"/>
      <c r="AL731" s="1" t="s">
        <v>79</v>
      </c>
      <c r="AM731" s="1" t="s">
        <v>65</v>
      </c>
      <c r="AN731" s="1" t="s">
        <v>3087</v>
      </c>
      <c r="AO731" s="2">
        <v>43900.0</v>
      </c>
      <c r="AP731" s="2">
        <v>43900.7273958333</v>
      </c>
      <c r="AQ731" s="1" t="s">
        <v>80</v>
      </c>
      <c r="AR731" s="1" t="s">
        <v>392</v>
      </c>
      <c r="AS731" s="1"/>
      <c r="AT731" s="2">
        <v>44269.931099537</v>
      </c>
    </row>
    <row r="732" ht="13.5" customHeight="1">
      <c r="A732" s="1">
        <v>2035760.0</v>
      </c>
      <c r="B732" s="1" t="s">
        <v>67</v>
      </c>
      <c r="C732" s="1" t="s">
        <v>68</v>
      </c>
      <c r="D732" s="1" t="s">
        <v>46</v>
      </c>
      <c r="E732" s="1" t="s">
        <v>3262</v>
      </c>
      <c r="F732" s="1"/>
      <c r="G732" s="1" t="s">
        <v>70</v>
      </c>
      <c r="H732" s="1" t="s">
        <v>50</v>
      </c>
      <c r="I732" s="1">
        <v>2162139.0</v>
      </c>
      <c r="J732" s="1"/>
      <c r="K732" s="1"/>
      <c r="L732" s="1" t="s">
        <v>172</v>
      </c>
      <c r="M732" s="1" t="s">
        <v>3263</v>
      </c>
      <c r="N732" s="1" t="s">
        <v>142</v>
      </c>
      <c r="O732" s="1" t="s">
        <v>143</v>
      </c>
      <c r="P732" s="2">
        <v>43802.625</v>
      </c>
      <c r="Q732" s="1" t="s">
        <v>373</v>
      </c>
      <c r="R732" s="3">
        <v>43802.0</v>
      </c>
      <c r="S732" s="1"/>
      <c r="T732" s="1">
        <v>1400100.0</v>
      </c>
      <c r="U732" s="1" t="s">
        <v>185</v>
      </c>
      <c r="V732" s="1" t="s">
        <v>186</v>
      </c>
      <c r="W732" s="1" t="s">
        <v>177</v>
      </c>
      <c r="X732" s="1"/>
      <c r="Y732" s="1" t="str">
        <f>"02001008620202064"</f>
        <v>02001008620202064</v>
      </c>
      <c r="Z732" s="1" t="s">
        <v>147</v>
      </c>
      <c r="AA732" s="1" t="s">
        <v>3264</v>
      </c>
      <c r="AB732" s="1" t="str">
        <f t="shared" ref="AB732:AB733" si="32">"***240172**"</f>
        <v>***240172**</v>
      </c>
      <c r="AC732" s="1"/>
      <c r="AD732" s="1"/>
      <c r="AE732" s="1"/>
      <c r="AF732" s="1">
        <v>-60.794167</v>
      </c>
      <c r="AG732" s="1">
        <v>-2.774722</v>
      </c>
      <c r="AH732" s="1" t="s">
        <v>3265</v>
      </c>
      <c r="AI732" s="1"/>
      <c r="AJ732" s="1" t="s">
        <v>172</v>
      </c>
      <c r="AK732" s="1"/>
      <c r="AL732" s="1" t="s">
        <v>79</v>
      </c>
      <c r="AM732" s="1" t="s">
        <v>65</v>
      </c>
      <c r="AN732" s="1" t="s">
        <v>180</v>
      </c>
      <c r="AO732" s="2">
        <v>43916.0</v>
      </c>
      <c r="AP732" s="2">
        <v>43916.7968981482</v>
      </c>
      <c r="AQ732" s="1" t="s">
        <v>80</v>
      </c>
      <c r="AR732" s="1" t="s">
        <v>181</v>
      </c>
      <c r="AS732" s="1"/>
      <c r="AT732" s="2">
        <v>44269.931099537</v>
      </c>
    </row>
    <row r="733" ht="13.5" customHeight="1">
      <c r="A733" s="1">
        <v>2035761.0</v>
      </c>
      <c r="B733" s="1" t="s">
        <v>67</v>
      </c>
      <c r="C733" s="1" t="s">
        <v>68</v>
      </c>
      <c r="D733" s="1" t="s">
        <v>46</v>
      </c>
      <c r="E733" s="1" t="s">
        <v>3266</v>
      </c>
      <c r="F733" s="1"/>
      <c r="G733" s="1" t="s">
        <v>70</v>
      </c>
      <c r="H733" s="1" t="s">
        <v>50</v>
      </c>
      <c r="I733" s="1">
        <v>50500.0</v>
      </c>
      <c r="J733" s="1"/>
      <c r="K733" s="1"/>
      <c r="L733" s="1" t="s">
        <v>172</v>
      </c>
      <c r="M733" s="1" t="s">
        <v>3267</v>
      </c>
      <c r="N733" s="1" t="s">
        <v>283</v>
      </c>
      <c r="O733" s="1" t="s">
        <v>1364</v>
      </c>
      <c r="P733" s="2">
        <v>43802.625</v>
      </c>
      <c r="Q733" s="1" t="s">
        <v>373</v>
      </c>
      <c r="R733" s="3">
        <v>43802.0</v>
      </c>
      <c r="S733" s="1"/>
      <c r="T733" s="1">
        <v>1400100.0</v>
      </c>
      <c r="U733" s="1" t="s">
        <v>185</v>
      </c>
      <c r="V733" s="1" t="s">
        <v>186</v>
      </c>
      <c r="W733" s="1" t="s">
        <v>177</v>
      </c>
      <c r="X733" s="1"/>
      <c r="Y733" s="1" t="str">
        <f>"02001008621202017"</f>
        <v>02001008621202017</v>
      </c>
      <c r="Z733" s="1" t="s">
        <v>128</v>
      </c>
      <c r="AA733" s="1" t="s">
        <v>3264</v>
      </c>
      <c r="AB733" s="1" t="str">
        <f t="shared" si="32"/>
        <v>***240172**</v>
      </c>
      <c r="AC733" s="1"/>
      <c r="AD733" s="1"/>
      <c r="AE733" s="1"/>
      <c r="AF733" s="1">
        <v>-60.794167</v>
      </c>
      <c r="AG733" s="1">
        <v>-2.774722</v>
      </c>
      <c r="AH733" s="1" t="s">
        <v>3265</v>
      </c>
      <c r="AI733" s="1"/>
      <c r="AJ733" s="1" t="s">
        <v>172</v>
      </c>
      <c r="AK733" s="1"/>
      <c r="AL733" s="1" t="s">
        <v>79</v>
      </c>
      <c r="AM733" s="1" t="s">
        <v>65</v>
      </c>
      <c r="AN733" s="1" t="s">
        <v>180</v>
      </c>
      <c r="AO733" s="2">
        <v>43916.0</v>
      </c>
      <c r="AP733" s="2">
        <v>43916.7973726852</v>
      </c>
      <c r="AQ733" s="1" t="s">
        <v>80</v>
      </c>
      <c r="AR733" s="1" t="s">
        <v>909</v>
      </c>
      <c r="AS733" s="1"/>
      <c r="AT733" s="2">
        <v>44269.931099537</v>
      </c>
    </row>
    <row r="734" ht="13.5" customHeight="1">
      <c r="A734" s="1">
        <v>2044009.0</v>
      </c>
      <c r="B734" s="1" t="s">
        <v>67</v>
      </c>
      <c r="C734" s="1" t="s">
        <v>68</v>
      </c>
      <c r="D734" s="1" t="s">
        <v>46</v>
      </c>
      <c r="E734" s="1" t="s">
        <v>3268</v>
      </c>
      <c r="F734" s="1"/>
      <c r="G734" s="1" t="s">
        <v>70</v>
      </c>
      <c r="H734" s="1" t="s">
        <v>50</v>
      </c>
      <c r="I734" s="1">
        <v>21000.0</v>
      </c>
      <c r="J734" s="1"/>
      <c r="K734" s="1"/>
      <c r="L734" s="1" t="s">
        <v>172</v>
      </c>
      <c r="M734" s="1" t="s">
        <v>220</v>
      </c>
      <c r="N734" s="1" t="s">
        <v>72</v>
      </c>
      <c r="O734" s="1" t="s">
        <v>73</v>
      </c>
      <c r="P734" s="2">
        <v>43802.625</v>
      </c>
      <c r="Q734" s="1" t="s">
        <v>74</v>
      </c>
      <c r="R734" s="1"/>
      <c r="S734" s="1"/>
      <c r="T734" s="1">
        <v>3550308.0</v>
      </c>
      <c r="U734" s="1" t="s">
        <v>607</v>
      </c>
      <c r="V734" s="1" t="s">
        <v>58</v>
      </c>
      <c r="W734" s="1" t="s">
        <v>59</v>
      </c>
      <c r="X734" s="1"/>
      <c r="Y734" s="1" t="str">
        <f>"02001034583201914"</f>
        <v>02001034583201914</v>
      </c>
      <c r="Z734" s="1" t="s">
        <v>76</v>
      </c>
      <c r="AA734" s="1" t="s">
        <v>3269</v>
      </c>
      <c r="AB734" s="1" t="str">
        <f>"61204657000165"</f>
        <v>61204657000165</v>
      </c>
      <c r="AC734" s="1"/>
      <c r="AD734" s="1"/>
      <c r="AE734" s="1"/>
      <c r="AF734" s="1">
        <v>-46.823612</v>
      </c>
      <c r="AG734" s="1">
        <v>-23.697222</v>
      </c>
      <c r="AH734" s="1" t="s">
        <v>982</v>
      </c>
      <c r="AI734" s="1"/>
      <c r="AJ734" s="1" t="s">
        <v>172</v>
      </c>
      <c r="AK734" s="1"/>
      <c r="AL734" s="1" t="s">
        <v>79</v>
      </c>
      <c r="AM734" s="1" t="s">
        <v>65</v>
      </c>
      <c r="AN734" s="1" t="s">
        <v>983</v>
      </c>
      <c r="AO734" s="2">
        <v>44259.0</v>
      </c>
      <c r="AP734" s="2">
        <v>44259.3987847222</v>
      </c>
      <c r="AQ734" s="1" t="s">
        <v>80</v>
      </c>
      <c r="AR734" s="1" t="s">
        <v>1136</v>
      </c>
      <c r="AS734" s="1" t="s">
        <v>3177</v>
      </c>
      <c r="AT734" s="2">
        <v>44269.931099537</v>
      </c>
    </row>
    <row r="735" ht="13.5" customHeight="1">
      <c r="A735" s="1"/>
      <c r="B735" s="1" t="s">
        <v>46</v>
      </c>
      <c r="C735" s="1" t="s">
        <v>47</v>
      </c>
      <c r="D735" s="1"/>
      <c r="E735" s="1" t="s">
        <v>3270</v>
      </c>
      <c r="F735" s="1"/>
      <c r="G735" s="1" t="s">
        <v>49</v>
      </c>
      <c r="H735" s="1" t="s">
        <v>50</v>
      </c>
      <c r="I735" s="1">
        <v>11000.0</v>
      </c>
      <c r="J735" s="1"/>
      <c r="K735" s="1" t="s">
        <v>140</v>
      </c>
      <c r="L735" s="1"/>
      <c r="M735" s="1" t="s">
        <v>3271</v>
      </c>
      <c r="N735" s="1" t="s">
        <v>123</v>
      </c>
      <c r="O735" s="1" t="s">
        <v>73</v>
      </c>
      <c r="P735" s="2">
        <v>43802.6184490741</v>
      </c>
      <c r="Q735" s="1" t="s">
        <v>74</v>
      </c>
      <c r="R735" s="1"/>
      <c r="S735" s="1"/>
      <c r="T735" s="1">
        <v>3550407.0</v>
      </c>
      <c r="U735" s="1" t="s">
        <v>3272</v>
      </c>
      <c r="V735" s="1" t="s">
        <v>58</v>
      </c>
      <c r="W735" s="1" t="s">
        <v>59</v>
      </c>
      <c r="X735" s="1"/>
      <c r="Y735" s="1"/>
      <c r="Z735" s="1" t="s">
        <v>76</v>
      </c>
      <c r="AA735" s="1" t="s">
        <v>3273</v>
      </c>
      <c r="AB735" s="1" t="str">
        <f>"11511337000180"</f>
        <v>11511337000180</v>
      </c>
      <c r="AC735" s="1"/>
      <c r="AD735" s="1" t="s">
        <v>62</v>
      </c>
      <c r="AE735" s="1"/>
      <c r="AF735" s="1">
        <v>-47.949722</v>
      </c>
      <c r="AG735" s="1">
        <v>-22.657499</v>
      </c>
      <c r="AH735" s="1" t="s">
        <v>982</v>
      </c>
      <c r="AI735" s="1"/>
      <c r="AJ735" s="1" t="s">
        <v>172</v>
      </c>
      <c r="AK735" s="1"/>
      <c r="AL735" s="1"/>
      <c r="AM735" s="1" t="s">
        <v>65</v>
      </c>
      <c r="AN735" s="1" t="s">
        <v>983</v>
      </c>
      <c r="AO735" s="1"/>
      <c r="AP735" s="2">
        <v>44008.7427083333</v>
      </c>
      <c r="AQ735" s="1"/>
      <c r="AR735" s="1" t="s">
        <v>899</v>
      </c>
      <c r="AS735" s="1" t="s">
        <v>3177</v>
      </c>
      <c r="AT735" s="2">
        <v>44269.931099537</v>
      </c>
    </row>
    <row r="736" ht="13.5" customHeight="1">
      <c r="A736" s="1"/>
      <c r="B736" s="1" t="s">
        <v>46</v>
      </c>
      <c r="C736" s="1" t="s">
        <v>47</v>
      </c>
      <c r="D736" s="1"/>
      <c r="E736" s="1" t="s">
        <v>3274</v>
      </c>
      <c r="F736" s="1"/>
      <c r="G736" s="1" t="s">
        <v>49</v>
      </c>
      <c r="H736" s="1" t="s">
        <v>50</v>
      </c>
      <c r="I736" s="1">
        <v>100000.0</v>
      </c>
      <c r="J736" s="1"/>
      <c r="K736" s="1" t="s">
        <v>51</v>
      </c>
      <c r="L736" s="1"/>
      <c r="M736" s="1" t="s">
        <v>3275</v>
      </c>
      <c r="N736" s="1" t="s">
        <v>283</v>
      </c>
      <c r="O736" s="1" t="s">
        <v>1133</v>
      </c>
      <c r="P736" s="2">
        <v>43802.610625</v>
      </c>
      <c r="Q736" s="1" t="s">
        <v>74</v>
      </c>
      <c r="R736" s="1"/>
      <c r="S736" s="1"/>
      <c r="T736" s="1">
        <v>3301009.0</v>
      </c>
      <c r="U736" s="1" t="s">
        <v>2985</v>
      </c>
      <c r="V736" s="1" t="s">
        <v>287</v>
      </c>
      <c r="W736" s="1" t="s">
        <v>288</v>
      </c>
      <c r="X736" s="1"/>
      <c r="Y736" s="1"/>
      <c r="Z736" s="1" t="s">
        <v>128</v>
      </c>
      <c r="AA736" s="1" t="s">
        <v>3276</v>
      </c>
      <c r="AB736" s="1" t="str">
        <f>"33000167000101"</f>
        <v>33000167000101</v>
      </c>
      <c r="AC736" s="1"/>
      <c r="AD736" s="1" t="s">
        <v>149</v>
      </c>
      <c r="AE736" s="1"/>
      <c r="AF736" s="1">
        <v>-40.329445</v>
      </c>
      <c r="AG736" s="1">
        <v>-22.254999</v>
      </c>
      <c r="AH736" s="1" t="s">
        <v>3277</v>
      </c>
      <c r="AI736" s="1"/>
      <c r="AJ736" s="1" t="s">
        <v>172</v>
      </c>
      <c r="AK736" s="1"/>
      <c r="AL736" s="1"/>
      <c r="AM736" s="1" t="s">
        <v>65</v>
      </c>
      <c r="AN736" s="1" t="s">
        <v>720</v>
      </c>
      <c r="AO736" s="1"/>
      <c r="AP736" s="2">
        <v>44013.7230208333</v>
      </c>
      <c r="AQ736" s="1"/>
      <c r="AR736" s="1" t="s">
        <v>229</v>
      </c>
      <c r="AS736" s="1" t="s">
        <v>3278</v>
      </c>
      <c r="AT736" s="2">
        <v>44269.931099537</v>
      </c>
    </row>
    <row r="737" ht="13.5" customHeight="1">
      <c r="A737" s="1"/>
      <c r="B737" s="1" t="s">
        <v>46</v>
      </c>
      <c r="C737" s="1" t="s">
        <v>47</v>
      </c>
      <c r="D737" s="1"/>
      <c r="E737" s="1" t="s">
        <v>3279</v>
      </c>
      <c r="F737" s="1"/>
      <c r="G737" s="1" t="s">
        <v>49</v>
      </c>
      <c r="H737" s="1" t="s">
        <v>50</v>
      </c>
      <c r="I737" s="1">
        <v>10000.0</v>
      </c>
      <c r="J737" s="1"/>
      <c r="K737" s="1" t="s">
        <v>51</v>
      </c>
      <c r="L737" s="1"/>
      <c r="M737" s="1" t="s">
        <v>3280</v>
      </c>
      <c r="N737" s="1" t="s">
        <v>123</v>
      </c>
      <c r="O737" s="1" t="s">
        <v>73</v>
      </c>
      <c r="P737" s="2">
        <v>43802.6000462963</v>
      </c>
      <c r="Q737" s="1" t="s">
        <v>74</v>
      </c>
      <c r="R737" s="3">
        <v>43804.0</v>
      </c>
      <c r="S737" s="1"/>
      <c r="T737" s="1">
        <v>4315602.0</v>
      </c>
      <c r="U737" s="1" t="s">
        <v>3281</v>
      </c>
      <c r="V737" s="1" t="s">
        <v>145</v>
      </c>
      <c r="W737" s="1" t="s">
        <v>288</v>
      </c>
      <c r="X737" s="1"/>
      <c r="Y737" s="1"/>
      <c r="Z737" s="1" t="s">
        <v>76</v>
      </c>
      <c r="AA737" s="1" t="s">
        <v>3282</v>
      </c>
      <c r="AB737" s="1" t="str">
        <f>"***107720**"</f>
        <v>***107720**</v>
      </c>
      <c r="AC737" s="1"/>
      <c r="AD737" s="1" t="s">
        <v>62</v>
      </c>
      <c r="AE737" s="1"/>
      <c r="AF737" s="1">
        <v>-52.085556</v>
      </c>
      <c r="AG737" s="1">
        <v>-32.180279</v>
      </c>
      <c r="AH737" s="1" t="s">
        <v>3283</v>
      </c>
      <c r="AI737" s="1"/>
      <c r="AJ737" s="1" t="s">
        <v>151</v>
      </c>
      <c r="AK737" s="1"/>
      <c r="AL737" s="1"/>
      <c r="AM737" s="1" t="s">
        <v>65</v>
      </c>
      <c r="AN737" s="1" t="s">
        <v>3284</v>
      </c>
      <c r="AO737" s="1"/>
      <c r="AP737" s="2">
        <v>43802.6058449074</v>
      </c>
      <c r="AQ737" s="1"/>
      <c r="AR737" s="1" t="s">
        <v>1029</v>
      </c>
      <c r="AS737" s="1"/>
      <c r="AT737" s="2">
        <v>44269.931099537</v>
      </c>
    </row>
    <row r="738" ht="13.5" customHeight="1">
      <c r="A738" s="1"/>
      <c r="B738" s="1" t="s">
        <v>46</v>
      </c>
      <c r="C738" s="1" t="s">
        <v>47</v>
      </c>
      <c r="D738" s="1"/>
      <c r="E738" s="1" t="s">
        <v>3285</v>
      </c>
      <c r="F738" s="1"/>
      <c r="G738" s="1" t="s">
        <v>49</v>
      </c>
      <c r="H738" s="1" t="s">
        <v>93</v>
      </c>
      <c r="I738" s="1">
        <v>65000.0</v>
      </c>
      <c r="J738" s="1"/>
      <c r="K738" s="1"/>
      <c r="L738" s="1"/>
      <c r="M738" s="1" t="s">
        <v>3286</v>
      </c>
      <c r="N738" s="1" t="s">
        <v>142</v>
      </c>
      <c r="O738" s="1" t="s">
        <v>143</v>
      </c>
      <c r="P738" s="2">
        <v>43802.5946527778</v>
      </c>
      <c r="Q738" s="1" t="s">
        <v>373</v>
      </c>
      <c r="R738" s="1"/>
      <c r="S738" s="1"/>
      <c r="T738" s="1">
        <v>1100080.0</v>
      </c>
      <c r="U738" s="1" t="s">
        <v>1392</v>
      </c>
      <c r="V738" s="1" t="s">
        <v>448</v>
      </c>
      <c r="W738" s="1" t="s">
        <v>177</v>
      </c>
      <c r="X738" s="1"/>
      <c r="Y738" s="1"/>
      <c r="Z738" s="1" t="s">
        <v>147</v>
      </c>
      <c r="AA738" s="1" t="s">
        <v>3287</v>
      </c>
      <c r="AB738" s="1" t="str">
        <f>"***964732**"</f>
        <v>***964732**</v>
      </c>
      <c r="AC738" s="1"/>
      <c r="AD738" s="1" t="s">
        <v>116</v>
      </c>
      <c r="AE738" s="1"/>
      <c r="AF738" s="1">
        <v>-64.237503</v>
      </c>
      <c r="AG738" s="1">
        <v>-12.236112</v>
      </c>
      <c r="AH738" s="1" t="s">
        <v>3288</v>
      </c>
      <c r="AI738" s="1"/>
      <c r="AJ738" s="1" t="s">
        <v>172</v>
      </c>
      <c r="AK738" s="1"/>
      <c r="AL738" s="1"/>
      <c r="AM738" s="1" t="s">
        <v>65</v>
      </c>
      <c r="AN738" s="1" t="s">
        <v>1395</v>
      </c>
      <c r="AO738" s="1"/>
      <c r="AP738" s="2">
        <v>43802.5998958333</v>
      </c>
      <c r="AQ738" s="1"/>
      <c r="AR738" s="1" t="s">
        <v>644</v>
      </c>
      <c r="AS738" s="1"/>
      <c r="AT738" s="2">
        <v>44269.931099537</v>
      </c>
    </row>
    <row r="739" ht="13.5" customHeight="1">
      <c r="A739" s="1">
        <v>2034827.0</v>
      </c>
      <c r="B739" s="1" t="s">
        <v>67</v>
      </c>
      <c r="C739" s="1" t="s">
        <v>68</v>
      </c>
      <c r="D739" s="1" t="s">
        <v>46</v>
      </c>
      <c r="E739" s="1" t="s">
        <v>3289</v>
      </c>
      <c r="F739" s="1"/>
      <c r="G739" s="1" t="s">
        <v>70</v>
      </c>
      <c r="H739" s="1" t="s">
        <v>93</v>
      </c>
      <c r="I739" s="1">
        <v>90000.0</v>
      </c>
      <c r="J739" s="1"/>
      <c r="K739" s="1"/>
      <c r="L739" s="1" t="s">
        <v>196</v>
      </c>
      <c r="M739" s="1" t="s">
        <v>3290</v>
      </c>
      <c r="N739" s="1" t="s">
        <v>142</v>
      </c>
      <c r="O739" s="1" t="s">
        <v>143</v>
      </c>
      <c r="P739" s="2">
        <v>43802.5833333333</v>
      </c>
      <c r="Q739" s="1" t="s">
        <v>373</v>
      </c>
      <c r="R739" s="3">
        <v>43802.0</v>
      </c>
      <c r="S739" s="1"/>
      <c r="T739" s="1">
        <v>1505809.0</v>
      </c>
      <c r="U739" s="1" t="s">
        <v>3084</v>
      </c>
      <c r="V739" s="1" t="s">
        <v>193</v>
      </c>
      <c r="W739" s="1" t="s">
        <v>177</v>
      </c>
      <c r="X739" s="1"/>
      <c r="Y739" s="1" t="str">
        <f>"02018001334202099"</f>
        <v>02018001334202099</v>
      </c>
      <c r="Z739" s="1" t="s">
        <v>147</v>
      </c>
      <c r="AA739" s="1" t="s">
        <v>3291</v>
      </c>
      <c r="AB739" s="1" t="str">
        <f>"***786042**"</f>
        <v>***786042**</v>
      </c>
      <c r="AC739" s="1"/>
      <c r="AD739" s="1"/>
      <c r="AE739" s="1"/>
      <c r="AF739" s="1">
        <v>-50.686668</v>
      </c>
      <c r="AG739" s="1">
        <v>-3.411667</v>
      </c>
      <c r="AH739" s="1" t="s">
        <v>3292</v>
      </c>
      <c r="AI739" s="1"/>
      <c r="AJ739" s="1" t="s">
        <v>196</v>
      </c>
      <c r="AK739" s="1"/>
      <c r="AL739" s="1" t="s">
        <v>79</v>
      </c>
      <c r="AM739" s="1" t="s">
        <v>65</v>
      </c>
      <c r="AN739" s="1" t="s">
        <v>3087</v>
      </c>
      <c r="AO739" s="2">
        <v>43892.0</v>
      </c>
      <c r="AP739" s="2">
        <v>43892.4580208333</v>
      </c>
      <c r="AQ739" s="1" t="s">
        <v>80</v>
      </c>
      <c r="AR739" s="1" t="s">
        <v>421</v>
      </c>
      <c r="AS739" s="1"/>
      <c r="AT739" s="2">
        <v>44269.931099537</v>
      </c>
    </row>
    <row r="740" ht="13.5" customHeight="1">
      <c r="A740" s="1">
        <v>2034918.0</v>
      </c>
      <c r="B740" s="1" t="s">
        <v>67</v>
      </c>
      <c r="C740" s="1" t="s">
        <v>68</v>
      </c>
      <c r="D740" s="1" t="s">
        <v>46</v>
      </c>
      <c r="E740" s="1" t="s">
        <v>3293</v>
      </c>
      <c r="F740" s="1"/>
      <c r="G740" s="1" t="s">
        <v>70</v>
      </c>
      <c r="H740" s="1" t="s">
        <v>93</v>
      </c>
      <c r="I740" s="1">
        <v>36036.0</v>
      </c>
      <c r="J740" s="1"/>
      <c r="K740" s="1"/>
      <c r="L740" s="1" t="s">
        <v>151</v>
      </c>
      <c r="M740" s="1" t="s">
        <v>3294</v>
      </c>
      <c r="N740" s="1" t="s">
        <v>142</v>
      </c>
      <c r="O740" s="1" t="s">
        <v>143</v>
      </c>
      <c r="P740" s="2">
        <v>43802.5833333333</v>
      </c>
      <c r="Q740" s="1" t="s">
        <v>74</v>
      </c>
      <c r="R740" s="3">
        <v>43802.0</v>
      </c>
      <c r="S740" s="1"/>
      <c r="T740" s="1">
        <v>4318101.0</v>
      </c>
      <c r="U740" s="1" t="s">
        <v>3295</v>
      </c>
      <c r="V740" s="1" t="s">
        <v>145</v>
      </c>
      <c r="W740" s="1" t="s">
        <v>146</v>
      </c>
      <c r="X740" s="1"/>
      <c r="Y740" s="1" t="str">
        <f>"02023003623201910"</f>
        <v>02023003623201910</v>
      </c>
      <c r="Z740" s="1" t="s">
        <v>147</v>
      </c>
      <c r="AA740" s="1" t="s">
        <v>3296</v>
      </c>
      <c r="AB740" s="1" t="str">
        <f>"***903310**"</f>
        <v>***903310**</v>
      </c>
      <c r="AC740" s="1"/>
      <c r="AD740" s="1"/>
      <c r="AE740" s="1"/>
      <c r="AF740" s="1">
        <v>-55.19278</v>
      </c>
      <c r="AG740" s="1">
        <v>-29.27861</v>
      </c>
      <c r="AH740" s="1" t="s">
        <v>3297</v>
      </c>
      <c r="AI740" s="1"/>
      <c r="AJ740" s="1" t="s">
        <v>151</v>
      </c>
      <c r="AK740" s="1"/>
      <c r="AL740" s="1" t="s">
        <v>79</v>
      </c>
      <c r="AM740" s="1" t="s">
        <v>65</v>
      </c>
      <c r="AN740" s="1" t="s">
        <v>709</v>
      </c>
      <c r="AO740" s="2">
        <v>43892.0</v>
      </c>
      <c r="AP740" s="2">
        <v>43892.7066087963</v>
      </c>
      <c r="AQ740" s="1" t="s">
        <v>80</v>
      </c>
      <c r="AR740" s="1" t="s">
        <v>3298</v>
      </c>
      <c r="AS740" s="1"/>
      <c r="AT740" s="2">
        <v>44269.931099537</v>
      </c>
    </row>
    <row r="741" ht="13.5" customHeight="1">
      <c r="A741" s="1">
        <v>2035319.0</v>
      </c>
      <c r="B741" s="1" t="s">
        <v>67</v>
      </c>
      <c r="C741" s="1" t="s">
        <v>68</v>
      </c>
      <c r="D741" s="1" t="s">
        <v>46</v>
      </c>
      <c r="E741" s="1" t="s">
        <v>3299</v>
      </c>
      <c r="F741" s="1"/>
      <c r="G741" s="1" t="s">
        <v>70</v>
      </c>
      <c r="H741" s="1" t="s">
        <v>93</v>
      </c>
      <c r="I741" s="1">
        <v>1020000.0</v>
      </c>
      <c r="J741" s="1"/>
      <c r="K741" s="1"/>
      <c r="L741" s="1" t="s">
        <v>196</v>
      </c>
      <c r="M741" s="1" t="s">
        <v>3300</v>
      </c>
      <c r="N741" s="1" t="s">
        <v>142</v>
      </c>
      <c r="O741" s="1" t="s">
        <v>143</v>
      </c>
      <c r="P741" s="2">
        <v>43802.5833333333</v>
      </c>
      <c r="Q741" s="1" t="s">
        <v>74</v>
      </c>
      <c r="R741" s="3">
        <v>43802.0</v>
      </c>
      <c r="S741" s="1"/>
      <c r="T741" s="1">
        <v>1505809.0</v>
      </c>
      <c r="U741" s="1" t="s">
        <v>3084</v>
      </c>
      <c r="V741" s="1" t="s">
        <v>193</v>
      </c>
      <c r="W741" s="1" t="s">
        <v>177</v>
      </c>
      <c r="X741" s="1"/>
      <c r="Y741" s="1" t="str">
        <f>"02018001536202031"</f>
        <v>02018001536202031</v>
      </c>
      <c r="Z741" s="1" t="s">
        <v>147</v>
      </c>
      <c r="AA741" s="1" t="s">
        <v>3202</v>
      </c>
      <c r="AB741" s="1" t="str">
        <f>"***219011**"</f>
        <v>***219011**</v>
      </c>
      <c r="AC741" s="1"/>
      <c r="AD741" s="1"/>
      <c r="AE741" s="1"/>
      <c r="AF741" s="1">
        <v>-50.445831</v>
      </c>
      <c r="AG741" s="1">
        <v>-3.211389</v>
      </c>
      <c r="AH741" s="1" t="s">
        <v>3255</v>
      </c>
      <c r="AI741" s="1"/>
      <c r="AJ741" s="1" t="s">
        <v>196</v>
      </c>
      <c r="AK741" s="1"/>
      <c r="AL741" s="1" t="s">
        <v>79</v>
      </c>
      <c r="AM741" s="1" t="s">
        <v>65</v>
      </c>
      <c r="AN741" s="1" t="s">
        <v>3087</v>
      </c>
      <c r="AO741" s="2">
        <v>43900.0</v>
      </c>
      <c r="AP741" s="2">
        <v>43900.6946643519</v>
      </c>
      <c r="AQ741" s="1" t="s">
        <v>80</v>
      </c>
      <c r="AR741" s="1" t="s">
        <v>650</v>
      </c>
      <c r="AS741" s="1"/>
      <c r="AT741" s="2">
        <v>44269.931099537</v>
      </c>
    </row>
    <row r="742" ht="13.5" customHeight="1">
      <c r="A742" s="1"/>
      <c r="B742" s="1" t="s">
        <v>46</v>
      </c>
      <c r="C742" s="1" t="s">
        <v>47</v>
      </c>
      <c r="D742" s="1"/>
      <c r="E742" s="1" t="s">
        <v>3301</v>
      </c>
      <c r="F742" s="1"/>
      <c r="G742" s="1" t="s">
        <v>49</v>
      </c>
      <c r="H742" s="1" t="s">
        <v>93</v>
      </c>
      <c r="I742" s="1">
        <v>5000.0</v>
      </c>
      <c r="J742" s="1"/>
      <c r="K742" s="1" t="s">
        <v>140</v>
      </c>
      <c r="L742" s="1"/>
      <c r="M742" s="1" t="s">
        <v>3302</v>
      </c>
      <c r="N742" s="1" t="s">
        <v>123</v>
      </c>
      <c r="O742" s="1" t="s">
        <v>73</v>
      </c>
      <c r="P742" s="2">
        <v>43802.5631712963</v>
      </c>
      <c r="Q742" s="1" t="s">
        <v>74</v>
      </c>
      <c r="R742" s="3">
        <v>43802.0</v>
      </c>
      <c r="S742" s="1"/>
      <c r="T742" s="1">
        <v>2503209.0</v>
      </c>
      <c r="U742" s="1" t="s">
        <v>2376</v>
      </c>
      <c r="V742" s="1" t="s">
        <v>728</v>
      </c>
      <c r="W742" s="1" t="s">
        <v>288</v>
      </c>
      <c r="X742" s="1"/>
      <c r="Y742" s="1"/>
      <c r="Z742" s="1" t="s">
        <v>76</v>
      </c>
      <c r="AA742" s="1" t="s">
        <v>3303</v>
      </c>
      <c r="AB742" s="1" t="str">
        <f>"***378524**"</f>
        <v>***378524**</v>
      </c>
      <c r="AC742" s="1"/>
      <c r="AD742" s="1" t="s">
        <v>62</v>
      </c>
      <c r="AE742" s="1"/>
      <c r="AF742" s="1">
        <v>-34.959442</v>
      </c>
      <c r="AG742" s="1">
        <v>-7.103055</v>
      </c>
      <c r="AH742" s="1" t="s">
        <v>3304</v>
      </c>
      <c r="AI742" s="1"/>
      <c r="AJ742" s="1" t="s">
        <v>731</v>
      </c>
      <c r="AK742" s="1"/>
      <c r="AL742" s="1"/>
      <c r="AM742" s="1" t="s">
        <v>65</v>
      </c>
      <c r="AN742" s="1" t="s">
        <v>3305</v>
      </c>
      <c r="AO742" s="1"/>
      <c r="AP742" s="2">
        <v>43802.5721990741</v>
      </c>
      <c r="AQ742" s="1"/>
      <c r="AR742" s="1" t="s">
        <v>1029</v>
      </c>
      <c r="AS742" s="1"/>
      <c r="AT742" s="2">
        <v>44269.931099537</v>
      </c>
    </row>
    <row r="743" ht="13.5" customHeight="1">
      <c r="A743" s="1"/>
      <c r="B743" s="1" t="s">
        <v>46</v>
      </c>
      <c r="C743" s="1" t="s">
        <v>47</v>
      </c>
      <c r="D743" s="1"/>
      <c r="E743" s="1" t="s">
        <v>3306</v>
      </c>
      <c r="F743" s="1"/>
      <c r="G743" s="1" t="s">
        <v>49</v>
      </c>
      <c r="H743" s="1" t="s">
        <v>93</v>
      </c>
      <c r="I743" s="1">
        <v>13000.0</v>
      </c>
      <c r="J743" s="1"/>
      <c r="K743" s="1"/>
      <c r="L743" s="1"/>
      <c r="M743" s="1" t="s">
        <v>3307</v>
      </c>
      <c r="N743" s="1" t="s">
        <v>142</v>
      </c>
      <c r="O743" s="1" t="s">
        <v>143</v>
      </c>
      <c r="P743" s="2">
        <v>43802.5374768519</v>
      </c>
      <c r="Q743" s="1" t="s">
        <v>373</v>
      </c>
      <c r="R743" s="1"/>
      <c r="S743" s="1"/>
      <c r="T743" s="1">
        <v>2202653.0</v>
      </c>
      <c r="U743" s="1" t="s">
        <v>3308</v>
      </c>
      <c r="V743" s="1" t="s">
        <v>895</v>
      </c>
      <c r="W743" s="1" t="s">
        <v>113</v>
      </c>
      <c r="X743" s="1"/>
      <c r="Y743" s="1"/>
      <c r="Z743" s="1" t="s">
        <v>147</v>
      </c>
      <c r="AA743" s="1" t="s">
        <v>3309</v>
      </c>
      <c r="AB743" s="1" t="str">
        <f>"***752793**"</f>
        <v>***752793**</v>
      </c>
      <c r="AC743" s="1"/>
      <c r="AD743" s="1" t="s">
        <v>3310</v>
      </c>
      <c r="AE743" s="1"/>
      <c r="AF743" s="1">
        <v>-41.951942</v>
      </c>
      <c r="AG743" s="1">
        <v>3.4675</v>
      </c>
      <c r="AH743" s="1" t="s">
        <v>3311</v>
      </c>
      <c r="AI743" s="1"/>
      <c r="AJ743" s="1" t="s">
        <v>898</v>
      </c>
      <c r="AK743" s="1"/>
      <c r="AL743" s="1"/>
      <c r="AM743" s="1" t="s">
        <v>65</v>
      </c>
      <c r="AN743" s="1" t="s">
        <v>152</v>
      </c>
      <c r="AO743" s="1"/>
      <c r="AP743" s="2">
        <v>43802.5911574074</v>
      </c>
      <c r="AQ743" s="1"/>
      <c r="AR743" s="1" t="s">
        <v>3312</v>
      </c>
      <c r="AS743" s="1"/>
      <c r="AT743" s="2">
        <v>44269.931099537</v>
      </c>
    </row>
    <row r="744" ht="13.5" customHeight="1">
      <c r="A744" s="1"/>
      <c r="B744" s="1" t="s">
        <v>46</v>
      </c>
      <c r="C744" s="1" t="s">
        <v>47</v>
      </c>
      <c r="D744" s="1"/>
      <c r="E744" s="1" t="s">
        <v>3313</v>
      </c>
      <c r="F744" s="1"/>
      <c r="G744" s="1" t="s">
        <v>49</v>
      </c>
      <c r="H744" s="1" t="s">
        <v>93</v>
      </c>
      <c r="I744" s="1">
        <v>85000.0</v>
      </c>
      <c r="J744" s="1"/>
      <c r="K744" s="1"/>
      <c r="L744" s="1"/>
      <c r="M744" s="1" t="s">
        <v>3314</v>
      </c>
      <c r="N744" s="1" t="s">
        <v>142</v>
      </c>
      <c r="O744" s="1" t="s">
        <v>143</v>
      </c>
      <c r="P744" s="2">
        <v>43802.5326041667</v>
      </c>
      <c r="Q744" s="1" t="s">
        <v>373</v>
      </c>
      <c r="R744" s="1"/>
      <c r="S744" s="1"/>
      <c r="T744" s="1">
        <v>1100320.0</v>
      </c>
      <c r="U744" s="1" t="s">
        <v>1851</v>
      </c>
      <c r="V744" s="1" t="s">
        <v>448</v>
      </c>
      <c r="W744" s="1" t="s">
        <v>127</v>
      </c>
      <c r="X744" s="1"/>
      <c r="Y744" s="1"/>
      <c r="Z744" s="1" t="s">
        <v>147</v>
      </c>
      <c r="AA744" s="1" t="s">
        <v>3315</v>
      </c>
      <c r="AB744" s="1" t="str">
        <f>"***313922**"</f>
        <v>***313922**</v>
      </c>
      <c r="AC744" s="1"/>
      <c r="AD744" s="1" t="s">
        <v>116</v>
      </c>
      <c r="AE744" s="1"/>
      <c r="AF744" s="1">
        <v>-62.68</v>
      </c>
      <c r="AG744" s="1">
        <v>-11.636389</v>
      </c>
      <c r="AH744" s="1" t="s">
        <v>3316</v>
      </c>
      <c r="AI744" s="1"/>
      <c r="AJ744" s="1" t="s">
        <v>172</v>
      </c>
      <c r="AK744" s="1"/>
      <c r="AL744" s="1"/>
      <c r="AM744" s="1" t="s">
        <v>65</v>
      </c>
      <c r="AN744" s="1" t="s">
        <v>1395</v>
      </c>
      <c r="AO744" s="1"/>
      <c r="AP744" s="2">
        <v>43802.5469444445</v>
      </c>
      <c r="AQ744" s="1"/>
      <c r="AR744" s="1" t="s">
        <v>871</v>
      </c>
      <c r="AS744" s="1"/>
      <c r="AT744" s="2">
        <v>44269.931099537</v>
      </c>
    </row>
    <row r="745" ht="13.5" customHeight="1">
      <c r="A745" s="1"/>
      <c r="B745" s="1" t="s">
        <v>46</v>
      </c>
      <c r="C745" s="1" t="s">
        <v>47</v>
      </c>
      <c r="D745" s="1"/>
      <c r="E745" s="1" t="s">
        <v>3317</v>
      </c>
      <c r="F745" s="1"/>
      <c r="G745" s="1" t="s">
        <v>49</v>
      </c>
      <c r="H745" s="1" t="s">
        <v>93</v>
      </c>
      <c r="I745" s="1">
        <v>15023.4</v>
      </c>
      <c r="J745" s="1"/>
      <c r="K745" s="1"/>
      <c r="L745" s="1"/>
      <c r="M745" s="1" t="s">
        <v>3318</v>
      </c>
      <c r="N745" s="1" t="s">
        <v>142</v>
      </c>
      <c r="O745" s="1" t="s">
        <v>143</v>
      </c>
      <c r="P745" s="2">
        <v>43802.5221759259</v>
      </c>
      <c r="Q745" s="1" t="s">
        <v>373</v>
      </c>
      <c r="R745" s="1"/>
      <c r="S745" s="1"/>
      <c r="T745" s="1">
        <v>1200302.0</v>
      </c>
      <c r="U745" s="1" t="s">
        <v>3319</v>
      </c>
      <c r="V745" s="1" t="s">
        <v>498</v>
      </c>
      <c r="W745" s="1" t="s">
        <v>177</v>
      </c>
      <c r="X745" s="1"/>
      <c r="Y745" s="1"/>
      <c r="Z745" s="1" t="s">
        <v>147</v>
      </c>
      <c r="AA745" s="1" t="s">
        <v>3320</v>
      </c>
      <c r="AB745" s="1" t="str">
        <f>"***057329**"</f>
        <v>***057329**</v>
      </c>
      <c r="AC745" s="1"/>
      <c r="AD745" s="1" t="s">
        <v>149</v>
      </c>
      <c r="AE745" s="1"/>
      <c r="AF745" s="1">
        <v>-70.251114</v>
      </c>
      <c r="AG745" s="1">
        <v>-8.285001</v>
      </c>
      <c r="AH745" s="1" t="s">
        <v>3321</v>
      </c>
      <c r="AI745" s="1"/>
      <c r="AJ745" s="1" t="s">
        <v>3322</v>
      </c>
      <c r="AK745" s="1"/>
      <c r="AL745" s="1"/>
      <c r="AM745" s="1" t="s">
        <v>65</v>
      </c>
      <c r="AN745" s="1" t="s">
        <v>3305</v>
      </c>
      <c r="AO745" s="1"/>
      <c r="AP745" s="2">
        <v>43957.450625</v>
      </c>
      <c r="AQ745" s="1"/>
      <c r="AR745" s="1" t="s">
        <v>280</v>
      </c>
      <c r="AS745" s="1"/>
      <c r="AT745" s="2">
        <v>44269.931099537</v>
      </c>
    </row>
    <row r="746" ht="13.5" customHeight="1">
      <c r="A746" s="1"/>
      <c r="B746" s="1" t="s">
        <v>46</v>
      </c>
      <c r="C746" s="1" t="s">
        <v>47</v>
      </c>
      <c r="D746" s="1"/>
      <c r="E746" s="1" t="s">
        <v>3323</v>
      </c>
      <c r="F746" s="1"/>
      <c r="G746" s="1" t="s">
        <v>49</v>
      </c>
      <c r="H746" s="1" t="s">
        <v>50</v>
      </c>
      <c r="I746" s="1">
        <v>1510500.0</v>
      </c>
      <c r="J746" s="1"/>
      <c r="K746" s="1" t="s">
        <v>140</v>
      </c>
      <c r="L746" s="1"/>
      <c r="M746" s="1" t="s">
        <v>3324</v>
      </c>
      <c r="N746" s="1" t="s">
        <v>212</v>
      </c>
      <c r="O746" s="1" t="s">
        <v>213</v>
      </c>
      <c r="P746" s="2">
        <v>43802.5113888889</v>
      </c>
      <c r="Q746" s="1" t="s">
        <v>74</v>
      </c>
      <c r="R746" s="1"/>
      <c r="S746" s="1"/>
      <c r="T746" s="1">
        <v>5300108.0</v>
      </c>
      <c r="U746" s="1" t="s">
        <v>1541</v>
      </c>
      <c r="V746" s="1" t="s">
        <v>1542</v>
      </c>
      <c r="W746" s="1" t="s">
        <v>530</v>
      </c>
      <c r="X746" s="1"/>
      <c r="Y746" s="1"/>
      <c r="Z746" s="1" t="s">
        <v>215</v>
      </c>
      <c r="AA746" s="1" t="s">
        <v>3325</v>
      </c>
      <c r="AB746" s="1" t="str">
        <f>"61247870000405"</f>
        <v>61247870000405</v>
      </c>
      <c r="AC746" s="1"/>
      <c r="AD746" s="1" t="s">
        <v>149</v>
      </c>
      <c r="AE746" s="1"/>
      <c r="AF746" s="1">
        <v>-47.861942</v>
      </c>
      <c r="AG746" s="1">
        <v>-15.767222</v>
      </c>
      <c r="AH746" s="1" t="s">
        <v>2450</v>
      </c>
      <c r="AI746" s="1"/>
      <c r="AJ746" s="1" t="s">
        <v>172</v>
      </c>
      <c r="AK746" s="1"/>
      <c r="AL746" s="1"/>
      <c r="AM746" s="1" t="s">
        <v>65</v>
      </c>
      <c r="AN746" s="1" t="s">
        <v>720</v>
      </c>
      <c r="AO746" s="1"/>
      <c r="AP746" s="2">
        <v>43802.5389236111</v>
      </c>
      <c r="AQ746" s="1"/>
      <c r="AR746" s="1" t="s">
        <v>721</v>
      </c>
      <c r="AS746" s="1" t="s">
        <v>3326</v>
      </c>
      <c r="AT746" s="2">
        <v>44269.931099537</v>
      </c>
    </row>
    <row r="747" ht="13.5" customHeight="1">
      <c r="A747" s="1">
        <v>2035987.0</v>
      </c>
      <c r="B747" s="1" t="s">
        <v>67</v>
      </c>
      <c r="C747" s="1" t="s">
        <v>68</v>
      </c>
      <c r="D747" s="1" t="s">
        <v>46</v>
      </c>
      <c r="E747" s="1" t="s">
        <v>3327</v>
      </c>
      <c r="F747" s="1"/>
      <c r="G747" s="1" t="s">
        <v>70</v>
      </c>
      <c r="H747" s="1" t="s">
        <v>93</v>
      </c>
      <c r="I747" s="1">
        <v>265000.0</v>
      </c>
      <c r="J747" s="1"/>
      <c r="K747" s="1"/>
      <c r="L747" s="1" t="s">
        <v>172</v>
      </c>
      <c r="M747" s="1" t="s">
        <v>3328</v>
      </c>
      <c r="N747" s="1" t="s">
        <v>142</v>
      </c>
      <c r="O747" s="1" t="s">
        <v>143</v>
      </c>
      <c r="P747" s="2">
        <v>43802.5</v>
      </c>
      <c r="Q747" s="1" t="s">
        <v>373</v>
      </c>
      <c r="R747" s="3">
        <v>43802.0</v>
      </c>
      <c r="S747" s="1"/>
      <c r="T747" s="1">
        <v>1100320.0</v>
      </c>
      <c r="U747" s="1" t="s">
        <v>1851</v>
      </c>
      <c r="V747" s="1" t="s">
        <v>448</v>
      </c>
      <c r="W747" s="1" t="s">
        <v>177</v>
      </c>
      <c r="X747" s="1"/>
      <c r="Y747" s="1" t="str">
        <f>"02001009354202097"</f>
        <v>02001009354202097</v>
      </c>
      <c r="Z747" s="1" t="s">
        <v>147</v>
      </c>
      <c r="AA747" s="1" t="s">
        <v>3329</v>
      </c>
      <c r="AB747" s="1" t="str">
        <f>"***483222**"</f>
        <v>***483222**</v>
      </c>
      <c r="AC747" s="1"/>
      <c r="AD747" s="1"/>
      <c r="AE747" s="1"/>
      <c r="AF747" s="1">
        <v>-62.742779</v>
      </c>
      <c r="AG747" s="1">
        <v>-11.708611</v>
      </c>
      <c r="AH747" s="1" t="s">
        <v>3330</v>
      </c>
      <c r="AI747" s="1"/>
      <c r="AJ747" s="1" t="s">
        <v>172</v>
      </c>
      <c r="AK747" s="1"/>
      <c r="AL747" s="1" t="s">
        <v>79</v>
      </c>
      <c r="AM747" s="1" t="s">
        <v>65</v>
      </c>
      <c r="AN747" s="1" t="s">
        <v>1395</v>
      </c>
      <c r="AO747" s="2">
        <v>43923.0</v>
      </c>
      <c r="AP747" s="2">
        <v>43923.7013078704</v>
      </c>
      <c r="AQ747" s="1" t="s">
        <v>80</v>
      </c>
      <c r="AR747" s="1" t="s">
        <v>656</v>
      </c>
      <c r="AS747" s="1"/>
      <c r="AT747" s="2">
        <v>44269.931099537</v>
      </c>
    </row>
    <row r="748" ht="13.5" customHeight="1">
      <c r="A748" s="1">
        <v>2036144.0</v>
      </c>
      <c r="B748" s="1" t="s">
        <v>67</v>
      </c>
      <c r="C748" s="1" t="s">
        <v>68</v>
      </c>
      <c r="D748" s="1" t="s">
        <v>46</v>
      </c>
      <c r="E748" s="1" t="s">
        <v>3331</v>
      </c>
      <c r="F748" s="1"/>
      <c r="G748" s="1" t="s">
        <v>70</v>
      </c>
      <c r="H748" s="1" t="s">
        <v>50</v>
      </c>
      <c r="I748" s="1">
        <v>1720.0</v>
      </c>
      <c r="J748" s="1"/>
      <c r="K748" s="1"/>
      <c r="L748" s="1" t="s">
        <v>172</v>
      </c>
      <c r="M748" s="1" t="s">
        <v>3332</v>
      </c>
      <c r="N748" s="1" t="s">
        <v>53</v>
      </c>
      <c r="O748" s="1" t="s">
        <v>54</v>
      </c>
      <c r="P748" s="2">
        <v>43802.5</v>
      </c>
      <c r="Q748" s="1" t="s">
        <v>373</v>
      </c>
      <c r="R748" s="3">
        <v>43802.0</v>
      </c>
      <c r="S748" s="1"/>
      <c r="T748" s="1">
        <v>2306405.0</v>
      </c>
      <c r="U748" s="1" t="s">
        <v>3333</v>
      </c>
      <c r="V748" s="1" t="s">
        <v>112</v>
      </c>
      <c r="W748" s="1" t="s">
        <v>288</v>
      </c>
      <c r="X748" s="1"/>
      <c r="Y748" s="1" t="str">
        <f>"02001010154202087"</f>
        <v>02001010154202087</v>
      </c>
      <c r="Z748" s="1" t="s">
        <v>60</v>
      </c>
      <c r="AA748" s="1" t="s">
        <v>3334</v>
      </c>
      <c r="AB748" s="1" t="str">
        <f>"***013923**"</f>
        <v>***013923**</v>
      </c>
      <c r="AC748" s="1"/>
      <c r="AD748" s="1"/>
      <c r="AE748" s="1"/>
      <c r="AF748" s="1">
        <v>-39.517223</v>
      </c>
      <c r="AG748" s="1">
        <v>-3.100555</v>
      </c>
      <c r="AH748" s="1" t="s">
        <v>3335</v>
      </c>
      <c r="AI748" s="1"/>
      <c r="AJ748" s="1" t="s">
        <v>172</v>
      </c>
      <c r="AK748" s="1"/>
      <c r="AL748" s="1" t="s">
        <v>79</v>
      </c>
      <c r="AM748" s="1" t="s">
        <v>65</v>
      </c>
      <c r="AN748" s="1" t="s">
        <v>2722</v>
      </c>
      <c r="AO748" s="2">
        <v>43937.0</v>
      </c>
      <c r="AP748" s="2">
        <v>43937.7437152778</v>
      </c>
      <c r="AQ748" s="1" t="s">
        <v>80</v>
      </c>
      <c r="AR748" s="1" t="s">
        <v>2126</v>
      </c>
      <c r="AS748" s="1" t="s">
        <v>3336</v>
      </c>
      <c r="AT748" s="2">
        <v>44269.931099537</v>
      </c>
    </row>
    <row r="749" ht="13.5" customHeight="1">
      <c r="A749" s="1">
        <v>2036427.0</v>
      </c>
      <c r="B749" s="1" t="s">
        <v>67</v>
      </c>
      <c r="C749" s="1" t="s">
        <v>68</v>
      </c>
      <c r="D749" s="1" t="s">
        <v>46</v>
      </c>
      <c r="E749" s="1" t="s">
        <v>3337</v>
      </c>
      <c r="F749" s="1"/>
      <c r="G749" s="1" t="s">
        <v>70</v>
      </c>
      <c r="H749" s="1" t="s">
        <v>93</v>
      </c>
      <c r="I749" s="1">
        <v>19800.0</v>
      </c>
      <c r="J749" s="1"/>
      <c r="K749" s="1"/>
      <c r="L749" s="1" t="s">
        <v>167</v>
      </c>
      <c r="M749" s="1" t="s">
        <v>3338</v>
      </c>
      <c r="N749" s="1" t="s">
        <v>142</v>
      </c>
      <c r="O749" s="1" t="s">
        <v>143</v>
      </c>
      <c r="P749" s="2">
        <v>43802.5</v>
      </c>
      <c r="Q749" s="1" t="s">
        <v>74</v>
      </c>
      <c r="R749" s="3">
        <v>44194.0</v>
      </c>
      <c r="S749" s="1"/>
      <c r="T749" s="1">
        <v>5107578.0</v>
      </c>
      <c r="U749" s="1" t="s">
        <v>3339</v>
      </c>
      <c r="V749" s="1" t="s">
        <v>164</v>
      </c>
      <c r="W749" s="1" t="s">
        <v>177</v>
      </c>
      <c r="X749" s="1"/>
      <c r="Y749" s="1" t="str">
        <f>"02013001550202084"</f>
        <v>02013001550202084</v>
      </c>
      <c r="Z749" s="1" t="s">
        <v>147</v>
      </c>
      <c r="AA749" s="1" t="s">
        <v>3340</v>
      </c>
      <c r="AB749" s="1" t="str">
        <f>"***435942**"</f>
        <v>***435942**</v>
      </c>
      <c r="AC749" s="1"/>
      <c r="AD749" s="1" t="s">
        <v>116</v>
      </c>
      <c r="AE749" s="1"/>
      <c r="AF749" s="1">
        <v>-60.753333</v>
      </c>
      <c r="AG749" s="1">
        <v>-10.342778</v>
      </c>
      <c r="AH749" s="1" t="s">
        <v>3341</v>
      </c>
      <c r="AI749" s="1"/>
      <c r="AJ749" s="1" t="s">
        <v>167</v>
      </c>
      <c r="AK749" s="1" t="s">
        <v>3342</v>
      </c>
      <c r="AL749" s="1" t="s">
        <v>79</v>
      </c>
      <c r="AM749" s="1" t="s">
        <v>65</v>
      </c>
      <c r="AN749" s="1" t="s">
        <v>3343</v>
      </c>
      <c r="AO749" s="2">
        <v>43950.0</v>
      </c>
      <c r="AP749" s="2">
        <v>44224.7131018519</v>
      </c>
      <c r="AQ749" s="1" t="s">
        <v>80</v>
      </c>
      <c r="AR749" s="1" t="s">
        <v>3344</v>
      </c>
      <c r="AS749" s="1"/>
      <c r="AT749" s="2">
        <v>44269.931099537</v>
      </c>
    </row>
    <row r="750" ht="13.5" customHeight="1">
      <c r="A750" s="1"/>
      <c r="B750" s="1" t="s">
        <v>46</v>
      </c>
      <c r="C750" s="1" t="s">
        <v>47</v>
      </c>
      <c r="D750" s="1"/>
      <c r="E750" s="1" t="s">
        <v>3345</v>
      </c>
      <c r="F750" s="1"/>
      <c r="G750" s="1" t="s">
        <v>49</v>
      </c>
      <c r="H750" s="1" t="s">
        <v>93</v>
      </c>
      <c r="I750" s="1">
        <v>145000.0</v>
      </c>
      <c r="J750" s="1"/>
      <c r="K750" s="1"/>
      <c r="L750" s="1"/>
      <c r="M750" s="1" t="s">
        <v>3346</v>
      </c>
      <c r="N750" s="1" t="s">
        <v>142</v>
      </c>
      <c r="O750" s="1" t="s">
        <v>143</v>
      </c>
      <c r="P750" s="2">
        <v>43802.4970486111</v>
      </c>
      <c r="Q750" s="1" t="s">
        <v>373</v>
      </c>
      <c r="R750" s="1"/>
      <c r="S750" s="1"/>
      <c r="T750" s="1">
        <v>1100346.0</v>
      </c>
      <c r="U750" s="1" t="s">
        <v>2529</v>
      </c>
      <c r="V750" s="1" t="s">
        <v>448</v>
      </c>
      <c r="W750" s="1" t="s">
        <v>177</v>
      </c>
      <c r="X750" s="1"/>
      <c r="Y750" s="1"/>
      <c r="Z750" s="1" t="s">
        <v>147</v>
      </c>
      <c r="AA750" s="1" t="s">
        <v>3347</v>
      </c>
      <c r="AB750" s="1" t="str">
        <f>"***940952**"</f>
        <v>***940952**</v>
      </c>
      <c r="AC750" s="1"/>
      <c r="AD750" s="1" t="s">
        <v>116</v>
      </c>
      <c r="AE750" s="1"/>
      <c r="AF750" s="1">
        <v>-62.474445</v>
      </c>
      <c r="AG750" s="1">
        <v>-11.542778</v>
      </c>
      <c r="AH750" s="1" t="s">
        <v>3348</v>
      </c>
      <c r="AI750" s="1"/>
      <c r="AJ750" s="1" t="s">
        <v>172</v>
      </c>
      <c r="AK750" s="1"/>
      <c r="AL750" s="1"/>
      <c r="AM750" s="1" t="s">
        <v>65</v>
      </c>
      <c r="AN750" s="1" t="s">
        <v>1395</v>
      </c>
      <c r="AO750" s="1"/>
      <c r="AP750" s="2">
        <v>44057.5963541667</v>
      </c>
      <c r="AQ750" s="1"/>
      <c r="AR750" s="1" t="s">
        <v>644</v>
      </c>
      <c r="AS750" s="1"/>
      <c r="AT750" s="2">
        <v>44269.931099537</v>
      </c>
    </row>
    <row r="751" ht="13.5" customHeight="1">
      <c r="A751" s="1"/>
      <c r="B751" s="1" t="s">
        <v>46</v>
      </c>
      <c r="C751" s="1" t="s">
        <v>47</v>
      </c>
      <c r="D751" s="1"/>
      <c r="E751" s="1" t="s">
        <v>3349</v>
      </c>
      <c r="F751" s="1"/>
      <c r="G751" s="1" t="s">
        <v>49</v>
      </c>
      <c r="H751" s="1" t="s">
        <v>93</v>
      </c>
      <c r="I751" s="1">
        <v>160000.0</v>
      </c>
      <c r="J751" s="1"/>
      <c r="K751" s="1"/>
      <c r="L751" s="1"/>
      <c r="M751" s="1" t="s">
        <v>3350</v>
      </c>
      <c r="N751" s="1" t="s">
        <v>142</v>
      </c>
      <c r="O751" s="1" t="s">
        <v>143</v>
      </c>
      <c r="P751" s="2">
        <v>43802.4956018519</v>
      </c>
      <c r="Q751" s="1" t="s">
        <v>373</v>
      </c>
      <c r="R751" s="1"/>
      <c r="S751" s="1"/>
      <c r="T751" s="1">
        <v>1100320.0</v>
      </c>
      <c r="U751" s="1" t="s">
        <v>1851</v>
      </c>
      <c r="V751" s="1" t="s">
        <v>448</v>
      </c>
      <c r="W751" s="1" t="s">
        <v>177</v>
      </c>
      <c r="X751" s="1"/>
      <c r="Y751" s="1"/>
      <c r="Z751" s="1" t="s">
        <v>147</v>
      </c>
      <c r="AA751" s="1" t="s">
        <v>3351</v>
      </c>
      <c r="AB751" s="1" t="str">
        <f>"***641602**"</f>
        <v>***641602**</v>
      </c>
      <c r="AC751" s="1"/>
      <c r="AD751" s="1" t="s">
        <v>116</v>
      </c>
      <c r="AE751" s="1"/>
      <c r="AF751" s="1">
        <v>-11.671666</v>
      </c>
      <c r="AG751" s="1">
        <v>-62.660278</v>
      </c>
      <c r="AH751" s="1" t="s">
        <v>3352</v>
      </c>
      <c r="AI751" s="1"/>
      <c r="AJ751" s="1" t="s">
        <v>172</v>
      </c>
      <c r="AK751" s="1"/>
      <c r="AL751" s="1"/>
      <c r="AM751" s="1" t="s">
        <v>65</v>
      </c>
      <c r="AN751" s="1" t="s">
        <v>1395</v>
      </c>
      <c r="AO751" s="1"/>
      <c r="AP751" s="2">
        <v>43802.5100578704</v>
      </c>
      <c r="AQ751" s="1"/>
      <c r="AR751" s="1" t="s">
        <v>871</v>
      </c>
      <c r="AS751" s="1"/>
      <c r="AT751" s="2">
        <v>44269.931099537</v>
      </c>
    </row>
    <row r="752" ht="13.5" customHeight="1">
      <c r="A752" s="1"/>
      <c r="B752" s="1" t="s">
        <v>46</v>
      </c>
      <c r="C752" s="1" t="s">
        <v>47</v>
      </c>
      <c r="D752" s="1"/>
      <c r="E752" s="1" t="s">
        <v>3353</v>
      </c>
      <c r="F752" s="1"/>
      <c r="G752" s="1" t="s">
        <v>49</v>
      </c>
      <c r="H752" s="1" t="s">
        <v>50</v>
      </c>
      <c r="I752" s="1">
        <v>21000.0</v>
      </c>
      <c r="J752" s="1"/>
      <c r="K752" s="1" t="s">
        <v>140</v>
      </c>
      <c r="L752" s="1"/>
      <c r="M752" s="1" t="s">
        <v>3354</v>
      </c>
      <c r="N752" s="1" t="s">
        <v>123</v>
      </c>
      <c r="O752" s="1" t="s">
        <v>73</v>
      </c>
      <c r="P752" s="2">
        <v>43802.4896759259</v>
      </c>
      <c r="Q752" s="1" t="s">
        <v>74</v>
      </c>
      <c r="R752" s="1"/>
      <c r="S752" s="1"/>
      <c r="T752" s="1">
        <v>3505708.0</v>
      </c>
      <c r="U752" s="1" t="s">
        <v>1048</v>
      </c>
      <c r="V752" s="1" t="s">
        <v>58</v>
      </c>
      <c r="W752" s="1" t="s">
        <v>59</v>
      </c>
      <c r="X752" s="1"/>
      <c r="Y752" s="1"/>
      <c r="Z752" s="1" t="s">
        <v>76</v>
      </c>
      <c r="AA752" s="1" t="s">
        <v>3355</v>
      </c>
      <c r="AB752" s="1" t="str">
        <f>"51609568000145"</f>
        <v>51609568000145</v>
      </c>
      <c r="AC752" s="1"/>
      <c r="AD752" s="1" t="s">
        <v>62</v>
      </c>
      <c r="AE752" s="1"/>
      <c r="AF752" s="1">
        <v>-46.861111</v>
      </c>
      <c r="AG752" s="1">
        <v>-23.520834</v>
      </c>
      <c r="AH752" s="1" t="s">
        <v>982</v>
      </c>
      <c r="AI752" s="1"/>
      <c r="AJ752" s="1" t="s">
        <v>172</v>
      </c>
      <c r="AK752" s="1"/>
      <c r="AL752" s="1"/>
      <c r="AM752" s="1" t="s">
        <v>65</v>
      </c>
      <c r="AN752" s="1" t="s">
        <v>983</v>
      </c>
      <c r="AO752" s="1"/>
      <c r="AP752" s="2">
        <v>44008.7428587963</v>
      </c>
      <c r="AQ752" s="1"/>
      <c r="AR752" s="1" t="s">
        <v>899</v>
      </c>
      <c r="AS752" s="1" t="s">
        <v>3177</v>
      </c>
      <c r="AT752" s="2">
        <v>44269.931099537</v>
      </c>
    </row>
    <row r="753" ht="13.5" customHeight="1">
      <c r="A753" s="1">
        <v>2035099.0</v>
      </c>
      <c r="B753" s="1" t="s">
        <v>67</v>
      </c>
      <c r="C753" s="1" t="s">
        <v>68</v>
      </c>
      <c r="D753" s="1" t="s">
        <v>46</v>
      </c>
      <c r="E753" s="1" t="s">
        <v>3356</v>
      </c>
      <c r="F753" s="1"/>
      <c r="G753" s="1" t="s">
        <v>70</v>
      </c>
      <c r="H753" s="1" t="s">
        <v>93</v>
      </c>
      <c r="I753" s="1">
        <v>2302500.0</v>
      </c>
      <c r="J753" s="1"/>
      <c r="K753" s="1"/>
      <c r="L753" s="1" t="s">
        <v>172</v>
      </c>
      <c r="M753" s="1" t="s">
        <v>3357</v>
      </c>
      <c r="N753" s="1" t="s">
        <v>142</v>
      </c>
      <c r="O753" s="1" t="s">
        <v>143</v>
      </c>
      <c r="P753" s="2">
        <v>43802.4583333333</v>
      </c>
      <c r="Q753" s="1" t="s">
        <v>74</v>
      </c>
      <c r="R753" s="3">
        <v>43802.0</v>
      </c>
      <c r="S753" s="1"/>
      <c r="T753" s="1">
        <v>1303502.0</v>
      </c>
      <c r="U753" s="1" t="s">
        <v>3358</v>
      </c>
      <c r="V753" s="1" t="s">
        <v>486</v>
      </c>
      <c r="W753" s="1" t="s">
        <v>177</v>
      </c>
      <c r="X753" s="1"/>
      <c r="Y753" s="1" t="str">
        <f>"02001035331201902"</f>
        <v>02001035331201902</v>
      </c>
      <c r="Z753" s="1" t="s">
        <v>147</v>
      </c>
      <c r="AA753" s="1" t="s">
        <v>3359</v>
      </c>
      <c r="AB753" s="1" t="str">
        <f>"***811091**"</f>
        <v>***811091**</v>
      </c>
      <c r="AC753" s="1"/>
      <c r="AD753" s="1"/>
      <c r="AE753" s="1"/>
      <c r="AF753" s="1">
        <v>-67.155556</v>
      </c>
      <c r="AG753" s="1">
        <v>-8.631667</v>
      </c>
      <c r="AH753" s="1" t="s">
        <v>3360</v>
      </c>
      <c r="AI753" s="1"/>
      <c r="AJ753" s="1" t="s">
        <v>172</v>
      </c>
      <c r="AK753" s="1"/>
      <c r="AL753" s="1" t="s">
        <v>79</v>
      </c>
      <c r="AM753" s="1" t="s">
        <v>65</v>
      </c>
      <c r="AN753" s="1" t="s">
        <v>1395</v>
      </c>
      <c r="AO753" s="2">
        <v>43895.0</v>
      </c>
      <c r="AP753" s="2">
        <v>43895.3736921296</v>
      </c>
      <c r="AQ753" s="1" t="s">
        <v>80</v>
      </c>
      <c r="AR753" s="1" t="s">
        <v>421</v>
      </c>
      <c r="AS753" s="1" t="s">
        <v>3361</v>
      </c>
      <c r="AT753" s="2">
        <v>44269.931099537</v>
      </c>
    </row>
    <row r="754" ht="13.5" customHeight="1">
      <c r="A754" s="1">
        <v>2035318.0</v>
      </c>
      <c r="B754" s="1" t="s">
        <v>67</v>
      </c>
      <c r="C754" s="1" t="s">
        <v>68</v>
      </c>
      <c r="D754" s="1" t="s">
        <v>46</v>
      </c>
      <c r="E754" s="1" t="s">
        <v>3362</v>
      </c>
      <c r="F754" s="1"/>
      <c r="G754" s="1" t="s">
        <v>70</v>
      </c>
      <c r="H754" s="1" t="s">
        <v>93</v>
      </c>
      <c r="I754" s="1">
        <v>290000.0</v>
      </c>
      <c r="J754" s="1"/>
      <c r="K754" s="1"/>
      <c r="L754" s="1" t="s">
        <v>196</v>
      </c>
      <c r="M754" s="1" t="s">
        <v>3363</v>
      </c>
      <c r="N754" s="1" t="s">
        <v>142</v>
      </c>
      <c r="O754" s="1" t="s">
        <v>143</v>
      </c>
      <c r="P754" s="2">
        <v>43802.4583333333</v>
      </c>
      <c r="Q754" s="1" t="s">
        <v>74</v>
      </c>
      <c r="R754" s="3">
        <v>43802.0</v>
      </c>
      <c r="S754" s="1"/>
      <c r="T754" s="1">
        <v>1505809.0</v>
      </c>
      <c r="U754" s="1" t="s">
        <v>3084</v>
      </c>
      <c r="V754" s="1" t="s">
        <v>193</v>
      </c>
      <c r="W754" s="1" t="s">
        <v>177</v>
      </c>
      <c r="X754" s="1"/>
      <c r="Y754" s="1" t="str">
        <f>"02018001535202096"</f>
        <v>02018001535202096</v>
      </c>
      <c r="Z754" s="1" t="s">
        <v>147</v>
      </c>
      <c r="AA754" s="1" t="s">
        <v>3202</v>
      </c>
      <c r="AB754" s="1" t="str">
        <f>"***219011**"</f>
        <v>***219011**</v>
      </c>
      <c r="AC754" s="1"/>
      <c r="AD754" s="1"/>
      <c r="AE754" s="1"/>
      <c r="AF754" s="1">
        <v>-50.453331</v>
      </c>
      <c r="AG754" s="1">
        <v>-3.141111</v>
      </c>
      <c r="AH754" s="1" t="s">
        <v>3364</v>
      </c>
      <c r="AI754" s="1"/>
      <c r="AJ754" s="1" t="s">
        <v>196</v>
      </c>
      <c r="AK754" s="1"/>
      <c r="AL754" s="1" t="s">
        <v>79</v>
      </c>
      <c r="AM754" s="1" t="s">
        <v>65</v>
      </c>
      <c r="AN754" s="1" t="s">
        <v>3087</v>
      </c>
      <c r="AO754" s="2">
        <v>43900.0</v>
      </c>
      <c r="AP754" s="2">
        <v>43900.6944097222</v>
      </c>
      <c r="AQ754" s="1" t="s">
        <v>80</v>
      </c>
      <c r="AR754" s="1" t="s">
        <v>421</v>
      </c>
      <c r="AS754" s="1"/>
      <c r="AT754" s="2">
        <v>44269.931099537</v>
      </c>
    </row>
    <row r="755" ht="13.5" customHeight="1">
      <c r="A755" s="1">
        <v>2035607.0</v>
      </c>
      <c r="B755" s="1" t="s">
        <v>67</v>
      </c>
      <c r="C755" s="1" t="s">
        <v>68</v>
      </c>
      <c r="D755" s="1" t="s">
        <v>46</v>
      </c>
      <c r="E755" s="1" t="s">
        <v>3365</v>
      </c>
      <c r="F755" s="1"/>
      <c r="G755" s="1" t="s">
        <v>70</v>
      </c>
      <c r="H755" s="1" t="s">
        <v>50</v>
      </c>
      <c r="I755" s="1">
        <v>500.0</v>
      </c>
      <c r="J755" s="1"/>
      <c r="K755" s="1"/>
      <c r="L755" s="1" t="s">
        <v>501</v>
      </c>
      <c r="M755" s="1" t="s">
        <v>3366</v>
      </c>
      <c r="N755" s="1" t="s">
        <v>72</v>
      </c>
      <c r="O755" s="1" t="s">
        <v>213</v>
      </c>
      <c r="P755" s="2">
        <v>43802.4583333333</v>
      </c>
      <c r="Q755" s="1" t="s">
        <v>373</v>
      </c>
      <c r="R755" s="3">
        <v>43802.0</v>
      </c>
      <c r="S755" s="1"/>
      <c r="T755" s="1">
        <v>2408102.0</v>
      </c>
      <c r="U755" s="1" t="s">
        <v>1423</v>
      </c>
      <c r="V755" s="1" t="s">
        <v>1424</v>
      </c>
      <c r="W755" s="1" t="s">
        <v>177</v>
      </c>
      <c r="X755" s="1"/>
      <c r="Y755" s="1" t="str">
        <f>"02021002170201924"</f>
        <v>02021002170201924</v>
      </c>
      <c r="Z755" s="1" t="s">
        <v>215</v>
      </c>
      <c r="AA755" s="1" t="s">
        <v>3367</v>
      </c>
      <c r="AB755" s="1" t="str">
        <f>"33374039000128"</f>
        <v>33374039000128</v>
      </c>
      <c r="AC755" s="1"/>
      <c r="AD755" s="1"/>
      <c r="AE755" s="1"/>
      <c r="AF755" s="1">
        <v>-35.247223</v>
      </c>
      <c r="AG755" s="1">
        <v>-5.840834</v>
      </c>
      <c r="AH755" s="1" t="s">
        <v>3368</v>
      </c>
      <c r="AI755" s="1"/>
      <c r="AJ755" s="1" t="s">
        <v>501</v>
      </c>
      <c r="AK755" s="1"/>
      <c r="AL755" s="1" t="s">
        <v>79</v>
      </c>
      <c r="AM755" s="1" t="s">
        <v>65</v>
      </c>
      <c r="AN755" s="1" t="s">
        <v>1427</v>
      </c>
      <c r="AO755" s="2">
        <v>43909.0</v>
      </c>
      <c r="AP755" s="2">
        <v>43909.7214351852</v>
      </c>
      <c r="AQ755" s="1" t="s">
        <v>80</v>
      </c>
      <c r="AR755" s="1" t="s">
        <v>3369</v>
      </c>
      <c r="AS755" s="1"/>
      <c r="AT755" s="2">
        <v>44269.931099537</v>
      </c>
    </row>
    <row r="756" ht="13.5" customHeight="1">
      <c r="A756" s="1">
        <v>2035608.0</v>
      </c>
      <c r="B756" s="1" t="s">
        <v>67</v>
      </c>
      <c r="C756" s="1" t="s">
        <v>68</v>
      </c>
      <c r="D756" s="1" t="s">
        <v>46</v>
      </c>
      <c r="E756" s="1" t="s">
        <v>3370</v>
      </c>
      <c r="F756" s="1"/>
      <c r="G756" s="1" t="s">
        <v>70</v>
      </c>
      <c r="H756" s="1" t="s">
        <v>93</v>
      </c>
      <c r="I756" s="1">
        <v>103520.76</v>
      </c>
      <c r="J756" s="1"/>
      <c r="K756" s="1"/>
      <c r="L756" s="1" t="s">
        <v>501</v>
      </c>
      <c r="M756" s="1" t="s">
        <v>3371</v>
      </c>
      <c r="N756" s="1" t="s">
        <v>142</v>
      </c>
      <c r="O756" s="1" t="s">
        <v>143</v>
      </c>
      <c r="P756" s="2">
        <v>43802.4583333333</v>
      </c>
      <c r="Q756" s="1" t="s">
        <v>373</v>
      </c>
      <c r="R756" s="3">
        <v>43802.0</v>
      </c>
      <c r="S756" s="1"/>
      <c r="T756" s="1">
        <v>2408102.0</v>
      </c>
      <c r="U756" s="1" t="s">
        <v>1423</v>
      </c>
      <c r="V756" s="1" t="s">
        <v>1424</v>
      </c>
      <c r="W756" s="1" t="s">
        <v>177</v>
      </c>
      <c r="X756" s="1"/>
      <c r="Y756" s="1" t="str">
        <f>"02021002175201957"</f>
        <v>02021002175201957</v>
      </c>
      <c r="Z756" s="1" t="s">
        <v>147</v>
      </c>
      <c r="AA756" s="1" t="s">
        <v>3372</v>
      </c>
      <c r="AB756" s="1" t="str">
        <f>"10556387000110"</f>
        <v>10556387000110</v>
      </c>
      <c r="AC756" s="1"/>
      <c r="AD756" s="1"/>
      <c r="AE756" s="1"/>
      <c r="AF756" s="1">
        <v>-35.247223</v>
      </c>
      <c r="AG756" s="1">
        <v>-5.840834</v>
      </c>
      <c r="AH756" s="1" t="s">
        <v>3373</v>
      </c>
      <c r="AI756" s="1"/>
      <c r="AJ756" s="1" t="s">
        <v>501</v>
      </c>
      <c r="AK756" s="1"/>
      <c r="AL756" s="1" t="s">
        <v>79</v>
      </c>
      <c r="AM756" s="1" t="s">
        <v>65</v>
      </c>
      <c r="AN756" s="1" t="s">
        <v>1427</v>
      </c>
      <c r="AO756" s="2">
        <v>43909.0</v>
      </c>
      <c r="AP756" s="2">
        <v>43909.7230324074</v>
      </c>
      <c r="AQ756" s="1" t="s">
        <v>80</v>
      </c>
      <c r="AR756" s="1" t="s">
        <v>181</v>
      </c>
      <c r="AS756" s="1"/>
      <c r="AT756" s="2">
        <v>44269.931099537</v>
      </c>
    </row>
    <row r="757" ht="13.5" customHeight="1">
      <c r="A757" s="1"/>
      <c r="B757" s="1" t="s">
        <v>46</v>
      </c>
      <c r="C757" s="1" t="s">
        <v>47</v>
      </c>
      <c r="D757" s="1"/>
      <c r="E757" s="1" t="s">
        <v>3374</v>
      </c>
      <c r="F757" s="1"/>
      <c r="G757" s="1" t="s">
        <v>49</v>
      </c>
      <c r="H757" s="1" t="s">
        <v>93</v>
      </c>
      <c r="I757" s="1">
        <v>172495.0</v>
      </c>
      <c r="J757" s="1"/>
      <c r="K757" s="1"/>
      <c r="L757" s="1"/>
      <c r="M757" s="1" t="s">
        <v>3375</v>
      </c>
      <c r="N757" s="1" t="s">
        <v>142</v>
      </c>
      <c r="O757" s="1" t="s">
        <v>143</v>
      </c>
      <c r="P757" s="2">
        <v>43802.4574884259</v>
      </c>
      <c r="Q757" s="1" t="s">
        <v>74</v>
      </c>
      <c r="R757" s="1"/>
      <c r="S757" s="1"/>
      <c r="T757" s="1">
        <v>1507300.0</v>
      </c>
      <c r="U757" s="1" t="s">
        <v>3161</v>
      </c>
      <c r="V757" s="1" t="s">
        <v>193</v>
      </c>
      <c r="W757" s="1" t="s">
        <v>177</v>
      </c>
      <c r="X757" s="1"/>
      <c r="Y757" s="1"/>
      <c r="Z757" s="1" t="s">
        <v>147</v>
      </c>
      <c r="AA757" s="1" t="s">
        <v>3376</v>
      </c>
      <c r="AB757" s="1" t="str">
        <f>"***850641**"</f>
        <v>***850641**</v>
      </c>
      <c r="AC757" s="1"/>
      <c r="AD757" s="1" t="s">
        <v>116</v>
      </c>
      <c r="AE757" s="1"/>
      <c r="AF757" s="1">
        <v>-52.795556</v>
      </c>
      <c r="AG757" s="1">
        <v>-6.280278</v>
      </c>
      <c r="AH757" s="1" t="s">
        <v>3377</v>
      </c>
      <c r="AI757" s="1"/>
      <c r="AJ757" s="1" t="s">
        <v>172</v>
      </c>
      <c r="AK757" s="1"/>
      <c r="AL757" s="1"/>
      <c r="AM757" s="1" t="s">
        <v>65</v>
      </c>
      <c r="AN757" s="1" t="s">
        <v>2164</v>
      </c>
      <c r="AO757" s="1"/>
      <c r="AP757" s="2">
        <v>44215.6735416667</v>
      </c>
      <c r="AQ757" s="1"/>
      <c r="AR757" s="1" t="s">
        <v>3150</v>
      </c>
      <c r="AS757" s="1"/>
      <c r="AT757" s="2">
        <v>44269.931099537</v>
      </c>
    </row>
    <row r="758" ht="13.5" customHeight="1">
      <c r="A758" s="1"/>
      <c r="B758" s="1" t="s">
        <v>46</v>
      </c>
      <c r="C758" s="1" t="s">
        <v>47</v>
      </c>
      <c r="D758" s="1"/>
      <c r="E758" s="1" t="s">
        <v>3378</v>
      </c>
      <c r="F758" s="1"/>
      <c r="G758" s="1" t="s">
        <v>49</v>
      </c>
      <c r="H758" s="1" t="s">
        <v>93</v>
      </c>
      <c r="I758" s="1">
        <v>1000.0</v>
      </c>
      <c r="J758" s="1"/>
      <c r="K758" s="1" t="s">
        <v>51</v>
      </c>
      <c r="L758" s="1"/>
      <c r="M758" s="1" t="s">
        <v>3379</v>
      </c>
      <c r="N758" s="1" t="s">
        <v>977</v>
      </c>
      <c r="O758" s="1" t="s">
        <v>978</v>
      </c>
      <c r="P758" s="2">
        <v>43802.4476041667</v>
      </c>
      <c r="Q758" s="1" t="s">
        <v>74</v>
      </c>
      <c r="R758" s="1"/>
      <c r="S758" s="1"/>
      <c r="T758" s="1">
        <v>3518800.0</v>
      </c>
      <c r="U758" s="1" t="s">
        <v>57</v>
      </c>
      <c r="V758" s="1" t="s">
        <v>58</v>
      </c>
      <c r="W758" s="1" t="s">
        <v>59</v>
      </c>
      <c r="X758" s="1"/>
      <c r="Y758" s="1"/>
      <c r="Z758" s="1" t="s">
        <v>980</v>
      </c>
      <c r="AA758" s="1" t="s">
        <v>3380</v>
      </c>
      <c r="AB758" s="1" t="str">
        <f>"07830331000106"</f>
        <v>07830331000106</v>
      </c>
      <c r="AC758" s="1"/>
      <c r="AD758" s="1" t="s">
        <v>149</v>
      </c>
      <c r="AE758" s="1"/>
      <c r="AF758" s="1">
        <v>-46.446667</v>
      </c>
      <c r="AG758" s="1">
        <v>-23.459721</v>
      </c>
      <c r="AH758" s="1" t="s">
        <v>3381</v>
      </c>
      <c r="AI758" s="1"/>
      <c r="AJ758" s="1" t="s">
        <v>172</v>
      </c>
      <c r="AK758" s="1"/>
      <c r="AL758" s="1"/>
      <c r="AM758" s="1" t="s">
        <v>65</v>
      </c>
      <c r="AN758" s="1" t="s">
        <v>983</v>
      </c>
      <c r="AO758" s="1"/>
      <c r="AP758" s="2">
        <v>43992.5409837963</v>
      </c>
      <c r="AQ758" s="1"/>
      <c r="AR758" s="1" t="s">
        <v>899</v>
      </c>
      <c r="AS758" s="1" t="s">
        <v>3382</v>
      </c>
      <c r="AT758" s="2">
        <v>44269.931099537</v>
      </c>
    </row>
    <row r="759" ht="13.5" customHeight="1">
      <c r="A759" s="1"/>
      <c r="B759" s="1" t="s">
        <v>46</v>
      </c>
      <c r="C759" s="1" t="s">
        <v>47</v>
      </c>
      <c r="D759" s="1"/>
      <c r="E759" s="1" t="s">
        <v>3383</v>
      </c>
      <c r="F759" s="1"/>
      <c r="G759" s="1" t="s">
        <v>49</v>
      </c>
      <c r="H759" s="1" t="s">
        <v>93</v>
      </c>
      <c r="I759" s="1">
        <v>170285.0</v>
      </c>
      <c r="J759" s="1"/>
      <c r="K759" s="1"/>
      <c r="L759" s="1"/>
      <c r="M759" s="1" t="s">
        <v>3384</v>
      </c>
      <c r="N759" s="1" t="s">
        <v>142</v>
      </c>
      <c r="O759" s="1" t="s">
        <v>143</v>
      </c>
      <c r="P759" s="2">
        <v>43802.4381828704</v>
      </c>
      <c r="Q759" s="1" t="s">
        <v>74</v>
      </c>
      <c r="R759" s="1"/>
      <c r="S759" s="1"/>
      <c r="T759" s="1">
        <v>1507300.0</v>
      </c>
      <c r="U759" s="1" t="s">
        <v>3161</v>
      </c>
      <c r="V759" s="1" t="s">
        <v>193</v>
      </c>
      <c r="W759" s="1" t="s">
        <v>177</v>
      </c>
      <c r="X759" s="1"/>
      <c r="Y759" s="1"/>
      <c r="Z759" s="1" t="s">
        <v>147</v>
      </c>
      <c r="AA759" s="1" t="s">
        <v>3385</v>
      </c>
      <c r="AB759" s="1" t="str">
        <f>"***533012**"</f>
        <v>***533012**</v>
      </c>
      <c r="AC759" s="1"/>
      <c r="AD759" s="1" t="s">
        <v>116</v>
      </c>
      <c r="AE759" s="1"/>
      <c r="AF759" s="1">
        <v>-51.121944</v>
      </c>
      <c r="AG759" s="1">
        <v>-5.515833</v>
      </c>
      <c r="AH759" s="1" t="s">
        <v>3386</v>
      </c>
      <c r="AI759" s="1"/>
      <c r="AJ759" s="1" t="s">
        <v>172</v>
      </c>
      <c r="AK759" s="1"/>
      <c r="AL759" s="1"/>
      <c r="AM759" s="1" t="s">
        <v>65</v>
      </c>
      <c r="AN759" s="1" t="s">
        <v>2164</v>
      </c>
      <c r="AO759" s="1"/>
      <c r="AP759" s="2">
        <v>44215.6738310185</v>
      </c>
      <c r="AQ759" s="1"/>
      <c r="AR759" s="1" t="s">
        <v>3150</v>
      </c>
      <c r="AS759" s="1"/>
      <c r="AT759" s="2">
        <v>44269.931099537</v>
      </c>
    </row>
    <row r="760" ht="13.5" customHeight="1">
      <c r="A760" s="1"/>
      <c r="B760" s="1" t="s">
        <v>46</v>
      </c>
      <c r="C760" s="1" t="s">
        <v>47</v>
      </c>
      <c r="D760" s="1"/>
      <c r="E760" s="1" t="s">
        <v>3387</v>
      </c>
      <c r="F760" s="1"/>
      <c r="G760" s="1" t="s">
        <v>49</v>
      </c>
      <c r="H760" s="1" t="s">
        <v>50</v>
      </c>
      <c r="I760" s="1">
        <v>165000.0</v>
      </c>
      <c r="J760" s="1"/>
      <c r="K760" s="1" t="s">
        <v>51</v>
      </c>
      <c r="L760" s="1"/>
      <c r="M760" s="1"/>
      <c r="N760" s="1" t="s">
        <v>977</v>
      </c>
      <c r="O760" s="1" t="s">
        <v>978</v>
      </c>
      <c r="P760" s="2">
        <v>43802.4236805556</v>
      </c>
      <c r="Q760" s="1" t="s">
        <v>74</v>
      </c>
      <c r="R760" s="1"/>
      <c r="S760" s="1"/>
      <c r="T760" s="1">
        <v>3543303.0</v>
      </c>
      <c r="U760" s="1" t="s">
        <v>2868</v>
      </c>
      <c r="V760" s="1" t="s">
        <v>58</v>
      </c>
      <c r="W760" s="1" t="s">
        <v>59</v>
      </c>
      <c r="X760" s="1"/>
      <c r="Y760" s="1"/>
      <c r="Z760" s="1" t="s">
        <v>980</v>
      </c>
      <c r="AA760" s="1" t="s">
        <v>2869</v>
      </c>
      <c r="AB760" s="1" t="str">
        <f>"07408046000193"</f>
        <v>07408046000193</v>
      </c>
      <c r="AC760" s="1"/>
      <c r="AD760" s="1" t="s">
        <v>149</v>
      </c>
      <c r="AE760" s="1"/>
      <c r="AF760" s="1">
        <v>-46.525833</v>
      </c>
      <c r="AG760" s="1">
        <v>-23.788332</v>
      </c>
      <c r="AH760" s="1" t="s">
        <v>982</v>
      </c>
      <c r="AI760" s="1"/>
      <c r="AJ760" s="1" t="s">
        <v>172</v>
      </c>
      <c r="AK760" s="1"/>
      <c r="AL760" s="1"/>
      <c r="AM760" s="1" t="s">
        <v>65</v>
      </c>
      <c r="AN760" s="1" t="s">
        <v>983</v>
      </c>
      <c r="AO760" s="1"/>
      <c r="AP760" s="2">
        <v>44008.742974537</v>
      </c>
      <c r="AQ760" s="1"/>
      <c r="AR760" s="1" t="s">
        <v>984</v>
      </c>
      <c r="AS760" s="1" t="s">
        <v>2383</v>
      </c>
      <c r="AT760" s="2">
        <v>44269.931099537</v>
      </c>
    </row>
    <row r="761" ht="13.5" customHeight="1">
      <c r="A761" s="1">
        <v>2035098.0</v>
      </c>
      <c r="B761" s="1" t="s">
        <v>67</v>
      </c>
      <c r="C761" s="1" t="s">
        <v>68</v>
      </c>
      <c r="D761" s="1" t="s">
        <v>46</v>
      </c>
      <c r="E761" s="1" t="s">
        <v>3388</v>
      </c>
      <c r="F761" s="1"/>
      <c r="G761" s="1" t="s">
        <v>70</v>
      </c>
      <c r="H761" s="1" t="s">
        <v>93</v>
      </c>
      <c r="I761" s="1">
        <v>772500.0</v>
      </c>
      <c r="J761" s="1"/>
      <c r="K761" s="1"/>
      <c r="L761" s="1" t="s">
        <v>172</v>
      </c>
      <c r="M761" s="1" t="s">
        <v>3389</v>
      </c>
      <c r="N761" s="1" t="s">
        <v>142</v>
      </c>
      <c r="O761" s="1" t="s">
        <v>143</v>
      </c>
      <c r="P761" s="2">
        <v>43802.4166666667</v>
      </c>
      <c r="Q761" s="1" t="s">
        <v>74</v>
      </c>
      <c r="R761" s="3">
        <v>43802.0</v>
      </c>
      <c r="S761" s="1"/>
      <c r="T761" s="1">
        <v>1302405.0</v>
      </c>
      <c r="U761" s="1" t="s">
        <v>2258</v>
      </c>
      <c r="V761" s="1" t="s">
        <v>486</v>
      </c>
      <c r="W761" s="1" t="s">
        <v>177</v>
      </c>
      <c r="X761" s="1"/>
      <c r="Y761" s="1" t="str">
        <f>"02001035333201993"</f>
        <v>02001035333201993</v>
      </c>
      <c r="Z761" s="1" t="s">
        <v>147</v>
      </c>
      <c r="AA761" s="1" t="s">
        <v>3390</v>
      </c>
      <c r="AB761" s="1" t="str">
        <f>"***848002**"</f>
        <v>***848002**</v>
      </c>
      <c r="AC761" s="1"/>
      <c r="AD761" s="1"/>
      <c r="AE761" s="1"/>
      <c r="AF761" s="1">
        <v>-67.201385</v>
      </c>
      <c r="AG761" s="1">
        <v>-8.664166</v>
      </c>
      <c r="AH761" s="1" t="s">
        <v>3391</v>
      </c>
      <c r="AI761" s="1"/>
      <c r="AJ761" s="1" t="s">
        <v>172</v>
      </c>
      <c r="AK761" s="1"/>
      <c r="AL761" s="1" t="s">
        <v>79</v>
      </c>
      <c r="AM761" s="1" t="s">
        <v>65</v>
      </c>
      <c r="AN761" s="1" t="s">
        <v>1395</v>
      </c>
      <c r="AO761" s="2">
        <v>43895.0</v>
      </c>
      <c r="AP761" s="2">
        <v>43895.3735648148</v>
      </c>
      <c r="AQ761" s="1" t="s">
        <v>80</v>
      </c>
      <c r="AR761" s="1" t="s">
        <v>421</v>
      </c>
      <c r="AS761" s="1" t="s">
        <v>3392</v>
      </c>
      <c r="AT761" s="2">
        <v>44269.931099537</v>
      </c>
    </row>
    <row r="762" ht="13.5" customHeight="1">
      <c r="A762" s="1">
        <v>2041503.0</v>
      </c>
      <c r="B762" s="1" t="s">
        <v>67</v>
      </c>
      <c r="C762" s="1" t="s">
        <v>68</v>
      </c>
      <c r="D762" s="1" t="s">
        <v>46</v>
      </c>
      <c r="E762" s="1" t="s">
        <v>3393</v>
      </c>
      <c r="F762" s="1"/>
      <c r="G762" s="1" t="s">
        <v>70</v>
      </c>
      <c r="H762" s="1" t="s">
        <v>50</v>
      </c>
      <c r="I762" s="1">
        <v>100500.0</v>
      </c>
      <c r="J762" s="1"/>
      <c r="K762" s="1"/>
      <c r="L762" s="1" t="s">
        <v>151</v>
      </c>
      <c r="M762" s="1" t="s">
        <v>3394</v>
      </c>
      <c r="N762" s="1" t="s">
        <v>283</v>
      </c>
      <c r="O762" s="1" t="s">
        <v>978</v>
      </c>
      <c r="P762" s="2">
        <v>43802.4166666667</v>
      </c>
      <c r="Q762" s="1" t="s">
        <v>373</v>
      </c>
      <c r="R762" s="3">
        <v>43802.0</v>
      </c>
      <c r="S762" s="1"/>
      <c r="T762" s="1">
        <v>4322400.0</v>
      </c>
      <c r="U762" s="1" t="s">
        <v>1812</v>
      </c>
      <c r="V762" s="1" t="s">
        <v>145</v>
      </c>
      <c r="W762" s="1" t="s">
        <v>146</v>
      </c>
      <c r="X762" s="1"/>
      <c r="Y762" s="1" t="str">
        <f>"02023002778202072"</f>
        <v>02023002778202072</v>
      </c>
      <c r="Z762" s="1" t="s">
        <v>980</v>
      </c>
      <c r="AA762" s="1" t="s">
        <v>3395</v>
      </c>
      <c r="AB762" s="1" t="str">
        <f>"***596750**"</f>
        <v>***596750**</v>
      </c>
      <c r="AC762" s="1"/>
      <c r="AD762" s="1"/>
      <c r="AE762" s="1"/>
      <c r="AF762" s="1">
        <v>-57.084721</v>
      </c>
      <c r="AG762" s="1">
        <v>-29.759167</v>
      </c>
      <c r="AH762" s="1" t="s">
        <v>3396</v>
      </c>
      <c r="AI762" s="1"/>
      <c r="AJ762" s="1" t="s">
        <v>151</v>
      </c>
      <c r="AK762" s="1"/>
      <c r="AL762" s="1" t="s">
        <v>79</v>
      </c>
      <c r="AM762" s="1" t="s">
        <v>65</v>
      </c>
      <c r="AN762" s="1"/>
      <c r="AO762" s="2">
        <v>44167.0</v>
      </c>
      <c r="AP762" s="2">
        <v>44167.5268402778</v>
      </c>
      <c r="AQ762" s="1" t="s">
        <v>80</v>
      </c>
      <c r="AR762" s="1" t="s">
        <v>1576</v>
      </c>
      <c r="AS762" s="1" t="s">
        <v>3397</v>
      </c>
      <c r="AT762" s="2">
        <v>44269.931099537</v>
      </c>
    </row>
    <row r="763" ht="13.5" customHeight="1">
      <c r="A763" s="1">
        <v>2042332.0</v>
      </c>
      <c r="B763" s="1" t="s">
        <v>67</v>
      </c>
      <c r="C763" s="1" t="s">
        <v>68</v>
      </c>
      <c r="D763" s="1" t="s">
        <v>46</v>
      </c>
      <c r="E763" s="1" t="s">
        <v>3398</v>
      </c>
      <c r="F763" s="1"/>
      <c r="G763" s="1" t="s">
        <v>70</v>
      </c>
      <c r="H763" s="1" t="s">
        <v>50</v>
      </c>
      <c r="I763" s="1">
        <v>2500.0</v>
      </c>
      <c r="J763" s="1"/>
      <c r="K763" s="1"/>
      <c r="L763" s="1" t="s">
        <v>151</v>
      </c>
      <c r="M763" s="1" t="s">
        <v>3399</v>
      </c>
      <c r="N763" s="1" t="s">
        <v>283</v>
      </c>
      <c r="O763" s="1" t="s">
        <v>978</v>
      </c>
      <c r="P763" s="2">
        <v>43802.4166666667</v>
      </c>
      <c r="Q763" s="1" t="s">
        <v>74</v>
      </c>
      <c r="R763" s="3">
        <v>43801.0</v>
      </c>
      <c r="S763" s="1"/>
      <c r="T763" s="1">
        <v>4316907.0</v>
      </c>
      <c r="U763" s="1" t="s">
        <v>3400</v>
      </c>
      <c r="V763" s="1" t="s">
        <v>145</v>
      </c>
      <c r="W763" s="1" t="s">
        <v>146</v>
      </c>
      <c r="X763" s="1"/>
      <c r="Y763" s="1" t="str">
        <f>"02613000146201991"</f>
        <v>02613000146201991</v>
      </c>
      <c r="Z763" s="1" t="s">
        <v>980</v>
      </c>
      <c r="AA763" s="1" t="s">
        <v>3401</v>
      </c>
      <c r="AB763" s="1" t="str">
        <f>"07986606000197"</f>
        <v>07986606000197</v>
      </c>
      <c r="AC763" s="1"/>
      <c r="AD763" s="1" t="s">
        <v>116</v>
      </c>
      <c r="AE763" s="1"/>
      <c r="AF763" s="1">
        <v>-53.794444</v>
      </c>
      <c r="AG763" s="1">
        <v>-29.698333</v>
      </c>
      <c r="AH763" s="1" t="s">
        <v>3402</v>
      </c>
      <c r="AI763" s="1"/>
      <c r="AJ763" s="1" t="s">
        <v>151</v>
      </c>
      <c r="AK763" s="1"/>
      <c r="AL763" s="1" t="s">
        <v>118</v>
      </c>
      <c r="AM763" s="1" t="s">
        <v>65</v>
      </c>
      <c r="AN763" s="1"/>
      <c r="AO763" s="2">
        <v>44194.0</v>
      </c>
      <c r="AP763" s="2">
        <v>44196.5574074074</v>
      </c>
      <c r="AQ763" s="1" t="s">
        <v>80</v>
      </c>
      <c r="AR763" s="1" t="s">
        <v>3403</v>
      </c>
      <c r="AS763" s="1"/>
      <c r="AT763" s="2">
        <v>44269.931099537</v>
      </c>
    </row>
    <row r="764" ht="13.5" customHeight="1">
      <c r="A764" s="1"/>
      <c r="B764" s="1" t="s">
        <v>46</v>
      </c>
      <c r="C764" s="1" t="s">
        <v>47</v>
      </c>
      <c r="D764" s="1"/>
      <c r="E764" s="1" t="s">
        <v>3404</v>
      </c>
      <c r="F764" s="1"/>
      <c r="G764" s="1" t="s">
        <v>49</v>
      </c>
      <c r="H764" s="1" t="s">
        <v>50</v>
      </c>
      <c r="I764" s="1">
        <v>205000.0</v>
      </c>
      <c r="J764" s="1"/>
      <c r="K764" s="1" t="s">
        <v>51</v>
      </c>
      <c r="L764" s="1"/>
      <c r="M764" s="1" t="s">
        <v>976</v>
      </c>
      <c r="N764" s="1" t="s">
        <v>977</v>
      </c>
      <c r="O764" s="1" t="s">
        <v>978</v>
      </c>
      <c r="P764" s="2">
        <v>43802.4149768518</v>
      </c>
      <c r="Q764" s="1" t="s">
        <v>74</v>
      </c>
      <c r="R764" s="1"/>
      <c r="S764" s="1"/>
      <c r="T764" s="1">
        <v>3505708.0</v>
      </c>
      <c r="U764" s="1" t="s">
        <v>1048</v>
      </c>
      <c r="V764" s="1" t="s">
        <v>58</v>
      </c>
      <c r="W764" s="1" t="s">
        <v>59</v>
      </c>
      <c r="X764" s="1"/>
      <c r="Y764" s="1"/>
      <c r="Z764" s="1" t="s">
        <v>980</v>
      </c>
      <c r="AA764" s="1" t="s">
        <v>2833</v>
      </c>
      <c r="AB764" s="1" t="str">
        <f>"17205244000103"</f>
        <v>17205244000103</v>
      </c>
      <c r="AC764" s="1"/>
      <c r="AD764" s="1" t="s">
        <v>149</v>
      </c>
      <c r="AE764" s="1"/>
      <c r="AF764" s="1">
        <v>-46.924442</v>
      </c>
      <c r="AG764" s="1">
        <v>-23.625</v>
      </c>
      <c r="AH764" s="1" t="s">
        <v>982</v>
      </c>
      <c r="AI764" s="1"/>
      <c r="AJ764" s="1" t="s">
        <v>172</v>
      </c>
      <c r="AK764" s="1"/>
      <c r="AL764" s="1"/>
      <c r="AM764" s="1" t="s">
        <v>65</v>
      </c>
      <c r="AN764" s="1" t="s">
        <v>983</v>
      </c>
      <c r="AO764" s="1"/>
      <c r="AP764" s="2">
        <v>44008.743125</v>
      </c>
      <c r="AQ764" s="1"/>
      <c r="AR764" s="1" t="s">
        <v>984</v>
      </c>
      <c r="AS764" s="1" t="s">
        <v>2383</v>
      </c>
      <c r="AT764" s="2">
        <v>44269.931099537</v>
      </c>
    </row>
    <row r="765" ht="13.5" customHeight="1">
      <c r="A765" s="1"/>
      <c r="B765" s="1" t="s">
        <v>46</v>
      </c>
      <c r="C765" s="1" t="s">
        <v>47</v>
      </c>
      <c r="D765" s="1"/>
      <c r="E765" s="1" t="s">
        <v>3405</v>
      </c>
      <c r="F765" s="1"/>
      <c r="G765" s="1" t="s">
        <v>49</v>
      </c>
      <c r="H765" s="1" t="s">
        <v>50</v>
      </c>
      <c r="I765" s="1">
        <v>15000.0</v>
      </c>
      <c r="J765" s="1"/>
      <c r="K765" s="1" t="s">
        <v>51</v>
      </c>
      <c r="L765" s="1"/>
      <c r="M765" s="1" t="s">
        <v>976</v>
      </c>
      <c r="N765" s="1" t="s">
        <v>977</v>
      </c>
      <c r="O765" s="1" t="s">
        <v>978</v>
      </c>
      <c r="P765" s="2">
        <v>43802.3983101852</v>
      </c>
      <c r="Q765" s="1" t="s">
        <v>74</v>
      </c>
      <c r="R765" s="1"/>
      <c r="S765" s="1"/>
      <c r="T765" s="1">
        <v>3534401.0</v>
      </c>
      <c r="U765" s="1" t="s">
        <v>1459</v>
      </c>
      <c r="V765" s="1" t="s">
        <v>58</v>
      </c>
      <c r="W765" s="1" t="s">
        <v>59</v>
      </c>
      <c r="X765" s="1"/>
      <c r="Y765" s="1"/>
      <c r="Z765" s="1" t="s">
        <v>980</v>
      </c>
      <c r="AA765" s="1" t="s">
        <v>2837</v>
      </c>
      <c r="AB765" s="1" t="str">
        <f>"01598243000136"</f>
        <v>01598243000136</v>
      </c>
      <c r="AC765" s="1"/>
      <c r="AD765" s="1" t="s">
        <v>149</v>
      </c>
      <c r="AE765" s="1"/>
      <c r="AF765" s="1">
        <v>-46.870277</v>
      </c>
      <c r="AG765" s="1">
        <v>-23.599443</v>
      </c>
      <c r="AH765" s="1" t="s">
        <v>982</v>
      </c>
      <c r="AI765" s="1"/>
      <c r="AJ765" s="1" t="s">
        <v>172</v>
      </c>
      <c r="AK765" s="1"/>
      <c r="AL765" s="1"/>
      <c r="AM765" s="1" t="s">
        <v>65</v>
      </c>
      <c r="AN765" s="1" t="s">
        <v>983</v>
      </c>
      <c r="AO765" s="1"/>
      <c r="AP765" s="2">
        <v>44008.7432638889</v>
      </c>
      <c r="AQ765" s="1"/>
      <c r="AR765" s="1" t="s">
        <v>984</v>
      </c>
      <c r="AS765" s="1" t="s">
        <v>2383</v>
      </c>
      <c r="AT765" s="2">
        <v>44269.931099537</v>
      </c>
    </row>
    <row r="766" ht="13.5" customHeight="1">
      <c r="A766" s="1"/>
      <c r="B766" s="1" t="s">
        <v>46</v>
      </c>
      <c r="C766" s="1" t="s">
        <v>47</v>
      </c>
      <c r="D766" s="1"/>
      <c r="E766" s="1" t="s">
        <v>3406</v>
      </c>
      <c r="F766" s="1"/>
      <c r="G766" s="1" t="s">
        <v>49</v>
      </c>
      <c r="H766" s="1" t="s">
        <v>50</v>
      </c>
      <c r="I766" s="1">
        <v>405000.0</v>
      </c>
      <c r="J766" s="1"/>
      <c r="K766" s="1" t="s">
        <v>51</v>
      </c>
      <c r="L766" s="1"/>
      <c r="M766" s="1" t="s">
        <v>976</v>
      </c>
      <c r="N766" s="1" t="s">
        <v>977</v>
      </c>
      <c r="O766" s="1" t="s">
        <v>978</v>
      </c>
      <c r="P766" s="2">
        <v>43802.3881481481</v>
      </c>
      <c r="Q766" s="1" t="s">
        <v>74</v>
      </c>
      <c r="R766" s="1"/>
      <c r="S766" s="1"/>
      <c r="T766" s="1">
        <v>3505708.0</v>
      </c>
      <c r="U766" s="1" t="s">
        <v>1048</v>
      </c>
      <c r="V766" s="1" t="s">
        <v>58</v>
      </c>
      <c r="W766" s="1" t="s">
        <v>59</v>
      </c>
      <c r="X766" s="1"/>
      <c r="Y766" s="1"/>
      <c r="Z766" s="1" t="s">
        <v>980</v>
      </c>
      <c r="AA766" s="1" t="s">
        <v>3407</v>
      </c>
      <c r="AB766" s="1" t="str">
        <f>"43054261000105"</f>
        <v>43054261000105</v>
      </c>
      <c r="AC766" s="1"/>
      <c r="AD766" s="1" t="s">
        <v>149</v>
      </c>
      <c r="AE766" s="1"/>
      <c r="AF766" s="1">
        <v>-46.838886</v>
      </c>
      <c r="AG766" s="1">
        <v>-23.77389</v>
      </c>
      <c r="AH766" s="1" t="s">
        <v>982</v>
      </c>
      <c r="AI766" s="1"/>
      <c r="AJ766" s="1" t="s">
        <v>172</v>
      </c>
      <c r="AK766" s="1"/>
      <c r="AL766" s="1"/>
      <c r="AM766" s="1" t="s">
        <v>65</v>
      </c>
      <c r="AN766" s="1" t="s">
        <v>983</v>
      </c>
      <c r="AO766" s="1"/>
      <c r="AP766" s="2">
        <v>44008.7433680556</v>
      </c>
      <c r="AQ766" s="1"/>
      <c r="AR766" s="1" t="s">
        <v>984</v>
      </c>
      <c r="AS766" s="1" t="s">
        <v>2866</v>
      </c>
      <c r="AT766" s="2">
        <v>44269.931099537</v>
      </c>
    </row>
    <row r="767" ht="13.5" customHeight="1">
      <c r="A767" s="1">
        <v>2038800.0</v>
      </c>
      <c r="B767" s="1" t="s">
        <v>67</v>
      </c>
      <c r="C767" s="1" t="s">
        <v>68</v>
      </c>
      <c r="D767" s="1" t="s">
        <v>46</v>
      </c>
      <c r="E767" s="1" t="s">
        <v>3408</v>
      </c>
      <c r="F767" s="1"/>
      <c r="G767" s="1" t="s">
        <v>70</v>
      </c>
      <c r="H767" s="1" t="s">
        <v>93</v>
      </c>
      <c r="I767" s="1">
        <v>69000.0</v>
      </c>
      <c r="J767" s="1"/>
      <c r="K767" s="1"/>
      <c r="L767" s="1" t="s">
        <v>587</v>
      </c>
      <c r="M767" s="1" t="s">
        <v>3409</v>
      </c>
      <c r="N767" s="1" t="s">
        <v>95</v>
      </c>
      <c r="O767" s="1" t="s">
        <v>96</v>
      </c>
      <c r="P767" s="2">
        <v>43802.375</v>
      </c>
      <c r="Q767" s="1" t="s">
        <v>74</v>
      </c>
      <c r="R767" s="1"/>
      <c r="S767" s="1"/>
      <c r="T767" s="1">
        <v>3169703.0</v>
      </c>
      <c r="U767" s="1" t="s">
        <v>589</v>
      </c>
      <c r="V767" s="1" t="s">
        <v>126</v>
      </c>
      <c r="W767" s="1" t="s">
        <v>127</v>
      </c>
      <c r="X767" s="1"/>
      <c r="Y767" s="1" t="str">
        <f>"02566000424201912"</f>
        <v>02566000424201912</v>
      </c>
      <c r="Z767" s="1" t="s">
        <v>98</v>
      </c>
      <c r="AA767" s="1" t="s">
        <v>3410</v>
      </c>
      <c r="AB767" s="1" t="str">
        <f>"***228966**"</f>
        <v>***228966**</v>
      </c>
      <c r="AC767" s="1"/>
      <c r="AD767" s="1"/>
      <c r="AE767" s="1"/>
      <c r="AF767" s="1">
        <v>-42.725555</v>
      </c>
      <c r="AG767" s="1">
        <v>-17.291666</v>
      </c>
      <c r="AH767" s="1" t="s">
        <v>3411</v>
      </c>
      <c r="AI767" s="1"/>
      <c r="AJ767" s="1" t="s">
        <v>587</v>
      </c>
      <c r="AK767" s="1"/>
      <c r="AL767" s="1" t="s">
        <v>79</v>
      </c>
      <c r="AM767" s="1" t="s">
        <v>65</v>
      </c>
      <c r="AN767" s="1" t="s">
        <v>592</v>
      </c>
      <c r="AO767" s="2">
        <v>44046.0</v>
      </c>
      <c r="AP767" s="2">
        <v>44046.6713310185</v>
      </c>
      <c r="AQ767" s="1" t="s">
        <v>80</v>
      </c>
      <c r="AR767" s="1" t="s">
        <v>250</v>
      </c>
      <c r="AS767" s="1"/>
      <c r="AT767" s="2">
        <v>44269.931099537</v>
      </c>
    </row>
    <row r="768" ht="13.5" customHeight="1">
      <c r="A768" s="1"/>
      <c r="B768" s="1" t="s">
        <v>46</v>
      </c>
      <c r="C768" s="1" t="s">
        <v>47</v>
      </c>
      <c r="D768" s="1"/>
      <c r="E768" s="1" t="s">
        <v>3412</v>
      </c>
      <c r="F768" s="1"/>
      <c r="G768" s="1" t="s">
        <v>49</v>
      </c>
      <c r="H768" s="1" t="s">
        <v>93</v>
      </c>
      <c r="I768" s="1">
        <v>227995.0</v>
      </c>
      <c r="J768" s="1"/>
      <c r="K768" s="1"/>
      <c r="L768" s="1"/>
      <c r="M768" s="1" t="s">
        <v>3413</v>
      </c>
      <c r="N768" s="1" t="s">
        <v>142</v>
      </c>
      <c r="O768" s="1" t="s">
        <v>143</v>
      </c>
      <c r="P768" s="2">
        <v>43802.3154976852</v>
      </c>
      <c r="Q768" s="1" t="s">
        <v>74</v>
      </c>
      <c r="R768" s="1"/>
      <c r="S768" s="1"/>
      <c r="T768" s="1">
        <v>1303304.0</v>
      </c>
      <c r="U768" s="1" t="s">
        <v>3414</v>
      </c>
      <c r="V768" s="1" t="s">
        <v>486</v>
      </c>
      <c r="W768" s="1" t="s">
        <v>177</v>
      </c>
      <c r="X768" s="1"/>
      <c r="Y768" s="1"/>
      <c r="Z768" s="1" t="s">
        <v>147</v>
      </c>
      <c r="AA768" s="1" t="s">
        <v>3415</v>
      </c>
      <c r="AB768" s="1" t="str">
        <f>"***716682**"</f>
        <v>***716682**</v>
      </c>
      <c r="AC768" s="1"/>
      <c r="AD768" s="1" t="s">
        <v>116</v>
      </c>
      <c r="AE768" s="1"/>
      <c r="AF768" s="1">
        <v>-61.4825</v>
      </c>
      <c r="AG768" s="1">
        <v>-8.063889</v>
      </c>
      <c r="AH768" s="1" t="s">
        <v>3416</v>
      </c>
      <c r="AI768" s="1"/>
      <c r="AJ768" s="1" t="s">
        <v>172</v>
      </c>
      <c r="AK768" s="1"/>
      <c r="AL768" s="1"/>
      <c r="AM768" s="1" t="s">
        <v>65</v>
      </c>
      <c r="AN768" s="1" t="s">
        <v>2164</v>
      </c>
      <c r="AO768" s="1"/>
      <c r="AP768" s="2">
        <v>44215.6739467593</v>
      </c>
      <c r="AQ768" s="1"/>
      <c r="AR768" s="1" t="s">
        <v>3150</v>
      </c>
      <c r="AS768" s="1"/>
      <c r="AT768" s="2">
        <v>44269.931099537</v>
      </c>
    </row>
    <row r="769" ht="13.5" customHeight="1">
      <c r="A769" s="1"/>
      <c r="B769" s="1" t="s">
        <v>46</v>
      </c>
      <c r="C769" s="1" t="s">
        <v>47</v>
      </c>
      <c r="D769" s="1"/>
      <c r="E769" s="1" t="s">
        <v>3417</v>
      </c>
      <c r="F769" s="1"/>
      <c r="G769" s="1" t="s">
        <v>49</v>
      </c>
      <c r="H769" s="1" t="s">
        <v>93</v>
      </c>
      <c r="I769" s="1">
        <v>125630.0</v>
      </c>
      <c r="J769" s="1"/>
      <c r="K769" s="1"/>
      <c r="L769" s="1"/>
      <c r="M769" s="1" t="s">
        <v>3418</v>
      </c>
      <c r="N769" s="1" t="s">
        <v>142</v>
      </c>
      <c r="O769" s="1" t="s">
        <v>143</v>
      </c>
      <c r="P769" s="2">
        <v>43802.2845486111</v>
      </c>
      <c r="Q769" s="1" t="s">
        <v>74</v>
      </c>
      <c r="R769" s="1"/>
      <c r="S769" s="1"/>
      <c r="T769" s="1">
        <v>1507300.0</v>
      </c>
      <c r="U769" s="1" t="s">
        <v>3161</v>
      </c>
      <c r="V769" s="1" t="s">
        <v>193</v>
      </c>
      <c r="W769" s="1" t="s">
        <v>177</v>
      </c>
      <c r="X769" s="1"/>
      <c r="Y769" s="1"/>
      <c r="Z769" s="1" t="s">
        <v>147</v>
      </c>
      <c r="AA769" s="1" t="s">
        <v>3419</v>
      </c>
      <c r="AB769" s="1" t="str">
        <f>"***347871**"</f>
        <v>***347871**</v>
      </c>
      <c r="AC769" s="1"/>
      <c r="AD769" s="1" t="s">
        <v>116</v>
      </c>
      <c r="AE769" s="1"/>
      <c r="AF769" s="1">
        <v>-51.9125</v>
      </c>
      <c r="AG769" s="1">
        <v>-6.2725</v>
      </c>
      <c r="AH769" s="1" t="s">
        <v>3420</v>
      </c>
      <c r="AI769" s="1"/>
      <c r="AJ769" s="1" t="s">
        <v>172</v>
      </c>
      <c r="AK769" s="1"/>
      <c r="AL769" s="1"/>
      <c r="AM769" s="1" t="s">
        <v>65</v>
      </c>
      <c r="AN769" s="1" t="s">
        <v>2164</v>
      </c>
      <c r="AO769" s="1"/>
      <c r="AP769" s="2">
        <v>44215.6740740741</v>
      </c>
      <c r="AQ769" s="1"/>
      <c r="AR769" s="1" t="s">
        <v>644</v>
      </c>
      <c r="AS769" s="1"/>
      <c r="AT769" s="2">
        <v>44269.931099537</v>
      </c>
    </row>
    <row r="770" ht="13.5" customHeight="1">
      <c r="A770" s="1"/>
      <c r="B770" s="1" t="s">
        <v>46</v>
      </c>
      <c r="C770" s="1" t="s">
        <v>47</v>
      </c>
      <c r="D770" s="1"/>
      <c r="E770" s="1" t="s">
        <v>3421</v>
      </c>
      <c r="F770" s="1"/>
      <c r="G770" s="1" t="s">
        <v>49</v>
      </c>
      <c r="H770" s="1" t="s">
        <v>93</v>
      </c>
      <c r="I770" s="1">
        <v>49155.0</v>
      </c>
      <c r="J770" s="1"/>
      <c r="K770" s="1"/>
      <c r="L770" s="1"/>
      <c r="M770" s="1" t="s">
        <v>3422</v>
      </c>
      <c r="N770" s="1" t="s">
        <v>142</v>
      </c>
      <c r="O770" s="1" t="s">
        <v>143</v>
      </c>
      <c r="P770" s="2">
        <v>43802.2504861111</v>
      </c>
      <c r="Q770" s="1" t="s">
        <v>74</v>
      </c>
      <c r="R770" s="1"/>
      <c r="S770" s="1"/>
      <c r="T770" s="1">
        <v>1507300.0</v>
      </c>
      <c r="U770" s="1" t="s">
        <v>3161</v>
      </c>
      <c r="V770" s="1" t="s">
        <v>193</v>
      </c>
      <c r="W770" s="1" t="s">
        <v>177</v>
      </c>
      <c r="X770" s="1"/>
      <c r="Y770" s="1"/>
      <c r="Z770" s="1" t="s">
        <v>147</v>
      </c>
      <c r="AA770" s="1" t="s">
        <v>3423</v>
      </c>
      <c r="AB770" s="1" t="str">
        <f>"***722631**"</f>
        <v>***722631**</v>
      </c>
      <c r="AC770" s="1"/>
      <c r="AD770" s="1" t="s">
        <v>116</v>
      </c>
      <c r="AE770" s="1"/>
      <c r="AF770" s="1">
        <v>-51.783611</v>
      </c>
      <c r="AG770" s="1">
        <v>-6.017778</v>
      </c>
      <c r="AH770" s="1" t="s">
        <v>3424</v>
      </c>
      <c r="AI770" s="1"/>
      <c r="AJ770" s="1" t="s">
        <v>172</v>
      </c>
      <c r="AK770" s="1"/>
      <c r="AL770" s="1"/>
      <c r="AM770" s="1" t="s">
        <v>65</v>
      </c>
      <c r="AN770" s="1" t="s">
        <v>2164</v>
      </c>
      <c r="AO770" s="1"/>
      <c r="AP770" s="2">
        <v>44215.674525463</v>
      </c>
      <c r="AQ770" s="1"/>
      <c r="AR770" s="1" t="s">
        <v>644</v>
      </c>
      <c r="AS770" s="1"/>
      <c r="AT770" s="2">
        <v>44269.931099537</v>
      </c>
    </row>
    <row r="771" ht="13.5" customHeight="1">
      <c r="A771" s="1"/>
      <c r="B771" s="1" t="s">
        <v>46</v>
      </c>
      <c r="C771" s="1" t="s">
        <v>47</v>
      </c>
      <c r="D771" s="1"/>
      <c r="E771" s="1" t="s">
        <v>3425</v>
      </c>
      <c r="F771" s="1"/>
      <c r="G771" s="1" t="s">
        <v>49</v>
      </c>
      <c r="H771" s="1" t="s">
        <v>50</v>
      </c>
      <c r="I771" s="1">
        <v>5800.0</v>
      </c>
      <c r="J771" s="1"/>
      <c r="K771" s="1" t="s">
        <v>51</v>
      </c>
      <c r="L771" s="1"/>
      <c r="M771" s="1" t="s">
        <v>3426</v>
      </c>
      <c r="N771" s="1" t="s">
        <v>53</v>
      </c>
      <c r="O771" s="1" t="s">
        <v>54</v>
      </c>
      <c r="P771" s="2">
        <v>43801.9756944444</v>
      </c>
      <c r="Q771" s="1" t="s">
        <v>74</v>
      </c>
      <c r="R771" s="1"/>
      <c r="S771" s="1"/>
      <c r="T771" s="1">
        <v>2401404.0</v>
      </c>
      <c r="U771" s="1" t="s">
        <v>3427</v>
      </c>
      <c r="V771" s="1" t="s">
        <v>1424</v>
      </c>
      <c r="W771" s="1" t="s">
        <v>288</v>
      </c>
      <c r="X771" s="1"/>
      <c r="Y771" s="1"/>
      <c r="Z771" s="1" t="s">
        <v>60</v>
      </c>
      <c r="AA771" s="1" t="s">
        <v>3428</v>
      </c>
      <c r="AB771" s="1" t="str">
        <f t="shared" ref="AB771:AB772" si="33">"***722264**"</f>
        <v>***722264**</v>
      </c>
      <c r="AC771" s="1"/>
      <c r="AD771" s="1" t="s">
        <v>62</v>
      </c>
      <c r="AE771" s="1"/>
      <c r="AF771" s="1">
        <v>-35.670555</v>
      </c>
      <c r="AG771" s="1">
        <v>6.455833</v>
      </c>
      <c r="AH771" s="1" t="s">
        <v>3429</v>
      </c>
      <c r="AI771" s="1"/>
      <c r="AJ771" s="1" t="s">
        <v>172</v>
      </c>
      <c r="AK771" s="1"/>
      <c r="AL771" s="1"/>
      <c r="AM771" s="1" t="s">
        <v>65</v>
      </c>
      <c r="AN771" s="1" t="s">
        <v>2722</v>
      </c>
      <c r="AO771" s="1"/>
      <c r="AP771" s="2">
        <v>43802.0191435185</v>
      </c>
      <c r="AQ771" s="1"/>
      <c r="AR771" s="1" t="s">
        <v>3430</v>
      </c>
      <c r="AS771" s="1" t="s">
        <v>3431</v>
      </c>
      <c r="AT771" s="2">
        <v>44269.931099537</v>
      </c>
    </row>
    <row r="772" ht="13.5" customHeight="1">
      <c r="A772" s="1"/>
      <c r="B772" s="1" t="s">
        <v>46</v>
      </c>
      <c r="C772" s="1" t="s">
        <v>47</v>
      </c>
      <c r="D772" s="1"/>
      <c r="E772" s="1" t="s">
        <v>3432</v>
      </c>
      <c r="F772" s="1"/>
      <c r="G772" s="1" t="s">
        <v>49</v>
      </c>
      <c r="H772" s="1" t="s">
        <v>93</v>
      </c>
      <c r="I772" s="1">
        <v>5800.0</v>
      </c>
      <c r="J772" s="1"/>
      <c r="K772" s="1"/>
      <c r="L772" s="1"/>
      <c r="M772" s="1"/>
      <c r="N772" s="1" t="s">
        <v>53</v>
      </c>
      <c r="O772" s="1" t="s">
        <v>54</v>
      </c>
      <c r="P772" s="2">
        <v>43801.9369212963</v>
      </c>
      <c r="Q772" s="1" t="s">
        <v>74</v>
      </c>
      <c r="R772" s="1"/>
      <c r="S772" s="1"/>
      <c r="T772" s="1">
        <v>2401404.0</v>
      </c>
      <c r="U772" s="1" t="s">
        <v>3427</v>
      </c>
      <c r="V772" s="1" t="s">
        <v>1424</v>
      </c>
      <c r="W772" s="1" t="s">
        <v>288</v>
      </c>
      <c r="X772" s="1"/>
      <c r="Y772" s="1"/>
      <c r="Z772" s="1" t="s">
        <v>60</v>
      </c>
      <c r="AA772" s="1" t="s">
        <v>3428</v>
      </c>
      <c r="AB772" s="1" t="str">
        <f t="shared" si="33"/>
        <v>***722264**</v>
      </c>
      <c r="AC772" s="1"/>
      <c r="AD772" s="1" t="s">
        <v>62</v>
      </c>
      <c r="AE772" s="1"/>
      <c r="AF772" s="1">
        <v>-35.670555</v>
      </c>
      <c r="AG772" s="1">
        <v>6.455833</v>
      </c>
      <c r="AH772" s="1" t="s">
        <v>3433</v>
      </c>
      <c r="AI772" s="1"/>
      <c r="AJ772" s="1" t="s">
        <v>172</v>
      </c>
      <c r="AK772" s="1"/>
      <c r="AL772" s="1"/>
      <c r="AM772" s="1" t="s">
        <v>65</v>
      </c>
      <c r="AN772" s="1" t="s">
        <v>2722</v>
      </c>
      <c r="AO772" s="1"/>
      <c r="AP772" s="2">
        <v>43801.9712037037</v>
      </c>
      <c r="AQ772" s="1"/>
      <c r="AR772" s="1" t="s">
        <v>3430</v>
      </c>
      <c r="AS772" s="1"/>
      <c r="AT772" s="2">
        <v>44269.931099537</v>
      </c>
    </row>
    <row r="773" ht="13.5" customHeight="1">
      <c r="A773" s="1">
        <v>2040326.0</v>
      </c>
      <c r="B773" s="1" t="s">
        <v>67</v>
      </c>
      <c r="C773" s="1" t="s">
        <v>68</v>
      </c>
      <c r="D773" s="1" t="s">
        <v>46</v>
      </c>
      <c r="E773" s="1" t="s">
        <v>3434</v>
      </c>
      <c r="F773" s="1"/>
      <c r="G773" s="1" t="s">
        <v>70</v>
      </c>
      <c r="H773" s="1" t="s">
        <v>50</v>
      </c>
      <c r="I773" s="1">
        <v>25000.0</v>
      </c>
      <c r="J773" s="1"/>
      <c r="K773" s="1"/>
      <c r="L773" s="1" t="s">
        <v>172</v>
      </c>
      <c r="M773" s="1" t="s">
        <v>3435</v>
      </c>
      <c r="N773" s="1" t="s">
        <v>283</v>
      </c>
      <c r="O773" s="1" t="s">
        <v>978</v>
      </c>
      <c r="P773" s="2">
        <v>43801.875</v>
      </c>
      <c r="Q773" s="1" t="s">
        <v>74</v>
      </c>
      <c r="R773" s="1"/>
      <c r="S773" s="1"/>
      <c r="T773" s="1">
        <v>3550308.0</v>
      </c>
      <c r="U773" s="1" t="s">
        <v>607</v>
      </c>
      <c r="V773" s="1" t="s">
        <v>58</v>
      </c>
      <c r="W773" s="1" t="s">
        <v>59</v>
      </c>
      <c r="X773" s="1"/>
      <c r="Y773" s="1" t="str">
        <f>"02001034843201943"</f>
        <v>02001034843201943</v>
      </c>
      <c r="Z773" s="1" t="s">
        <v>980</v>
      </c>
      <c r="AA773" s="1" t="s">
        <v>3436</v>
      </c>
      <c r="AB773" s="1" t="str">
        <f>"01636140000113"</f>
        <v>01636140000113</v>
      </c>
      <c r="AC773" s="1"/>
      <c r="AD773" s="1"/>
      <c r="AE773" s="1"/>
      <c r="AF773" s="1">
        <v>-46.636669</v>
      </c>
      <c r="AG773" s="1">
        <v>-23.547499</v>
      </c>
      <c r="AH773" s="1" t="s">
        <v>3437</v>
      </c>
      <c r="AI773" s="1"/>
      <c r="AJ773" s="1" t="s">
        <v>172</v>
      </c>
      <c r="AK773" s="1"/>
      <c r="AL773" s="1" t="s">
        <v>79</v>
      </c>
      <c r="AM773" s="1" t="s">
        <v>65</v>
      </c>
      <c r="AN773" s="1" t="s">
        <v>983</v>
      </c>
      <c r="AO773" s="2">
        <v>44120.0</v>
      </c>
      <c r="AP773" s="2">
        <v>44120.4246990741</v>
      </c>
      <c r="AQ773" s="1" t="s">
        <v>80</v>
      </c>
      <c r="AR773" s="1" t="s">
        <v>462</v>
      </c>
      <c r="AS773" s="1" t="s">
        <v>3438</v>
      </c>
      <c r="AT773" s="2">
        <v>44269.931099537</v>
      </c>
    </row>
    <row r="774" ht="13.5" customHeight="1">
      <c r="A774" s="1"/>
      <c r="B774" s="1" t="s">
        <v>46</v>
      </c>
      <c r="C774" s="1" t="s">
        <v>47</v>
      </c>
      <c r="D774" s="1"/>
      <c r="E774" s="1" t="s">
        <v>3439</v>
      </c>
      <c r="F774" s="1"/>
      <c r="G774" s="1" t="s">
        <v>49</v>
      </c>
      <c r="H774" s="1" t="s">
        <v>50</v>
      </c>
      <c r="I774" s="1">
        <v>1500.0</v>
      </c>
      <c r="J774" s="1"/>
      <c r="K774" s="1" t="s">
        <v>51</v>
      </c>
      <c r="L774" s="1"/>
      <c r="M774" s="1" t="s">
        <v>3440</v>
      </c>
      <c r="N774" s="1" t="s">
        <v>123</v>
      </c>
      <c r="O774" s="1" t="s">
        <v>73</v>
      </c>
      <c r="P774" s="2">
        <v>43801.869525463</v>
      </c>
      <c r="Q774" s="1" t="s">
        <v>74</v>
      </c>
      <c r="R774" s="3">
        <v>43801.0</v>
      </c>
      <c r="S774" s="1"/>
      <c r="T774" s="1">
        <v>3118601.0</v>
      </c>
      <c r="U774" s="1" t="s">
        <v>3441</v>
      </c>
      <c r="V774" s="1" t="s">
        <v>126</v>
      </c>
      <c r="W774" s="1" t="s">
        <v>127</v>
      </c>
      <c r="X774" s="1"/>
      <c r="Y774" s="1"/>
      <c r="Z774" s="1" t="s">
        <v>76</v>
      </c>
      <c r="AA774" s="1" t="s">
        <v>3442</v>
      </c>
      <c r="AB774" s="1" t="str">
        <f>"***418406**"</f>
        <v>***418406**</v>
      </c>
      <c r="AC774" s="1"/>
      <c r="AD774" s="1" t="s">
        <v>62</v>
      </c>
      <c r="AE774" s="1"/>
      <c r="AF774" s="1">
        <v>-44.031776</v>
      </c>
      <c r="AG774" s="1">
        <v>-19.877834</v>
      </c>
      <c r="AH774" s="1" t="s">
        <v>3443</v>
      </c>
      <c r="AI774" s="1"/>
      <c r="AJ774" s="1" t="s">
        <v>131</v>
      </c>
      <c r="AK774" s="1"/>
      <c r="AL774" s="1"/>
      <c r="AM774" s="1" t="s">
        <v>65</v>
      </c>
      <c r="AN774" s="1" t="s">
        <v>132</v>
      </c>
      <c r="AO774" s="1"/>
      <c r="AP774" s="2">
        <v>44076.7295601852</v>
      </c>
      <c r="AQ774" s="1"/>
      <c r="AR774" s="1" t="s">
        <v>2549</v>
      </c>
      <c r="AS774" s="1"/>
      <c r="AT774" s="2">
        <v>44269.931099537</v>
      </c>
    </row>
    <row r="775" ht="13.5" customHeight="1">
      <c r="A775" s="1">
        <v>2034839.0</v>
      </c>
      <c r="B775" s="1" t="s">
        <v>67</v>
      </c>
      <c r="C775" s="1" t="s">
        <v>68</v>
      </c>
      <c r="D775" s="1" t="s">
        <v>46</v>
      </c>
      <c r="E775" s="1" t="s">
        <v>3444</v>
      </c>
      <c r="F775" s="1"/>
      <c r="G775" s="1" t="s">
        <v>70</v>
      </c>
      <c r="H775" s="1" t="s">
        <v>93</v>
      </c>
      <c r="I775" s="1">
        <v>330000.0</v>
      </c>
      <c r="J775" s="1"/>
      <c r="K775" s="1"/>
      <c r="L775" s="1" t="s">
        <v>196</v>
      </c>
      <c r="M775" s="1" t="s">
        <v>3445</v>
      </c>
      <c r="N775" s="1" t="s">
        <v>142</v>
      </c>
      <c r="O775" s="1" t="s">
        <v>143</v>
      </c>
      <c r="P775" s="2">
        <v>43801.8333333333</v>
      </c>
      <c r="Q775" s="1" t="s">
        <v>373</v>
      </c>
      <c r="R775" s="3">
        <v>43801.0</v>
      </c>
      <c r="S775" s="1"/>
      <c r="T775" s="1">
        <v>1505486.0</v>
      </c>
      <c r="U775" s="1" t="s">
        <v>3446</v>
      </c>
      <c r="V775" s="1" t="s">
        <v>193</v>
      </c>
      <c r="W775" s="1" t="s">
        <v>177</v>
      </c>
      <c r="X775" s="1"/>
      <c r="Y775" s="1" t="str">
        <f>"02018001256202022"</f>
        <v>02018001256202022</v>
      </c>
      <c r="Z775" s="1" t="s">
        <v>147</v>
      </c>
      <c r="AA775" s="1" t="s">
        <v>3182</v>
      </c>
      <c r="AB775" s="1" t="str">
        <f>"***544512**"</f>
        <v>***544512**</v>
      </c>
      <c r="AC775" s="1"/>
      <c r="AD775" s="1"/>
      <c r="AE775" s="1"/>
      <c r="AF775" s="1">
        <v>-50.527222</v>
      </c>
      <c r="AG775" s="1">
        <v>-3.150278</v>
      </c>
      <c r="AH775" s="1" t="s">
        <v>3447</v>
      </c>
      <c r="AI775" s="1"/>
      <c r="AJ775" s="1" t="s">
        <v>196</v>
      </c>
      <c r="AK775" s="1"/>
      <c r="AL775" s="1" t="s">
        <v>79</v>
      </c>
      <c r="AM775" s="1" t="s">
        <v>65</v>
      </c>
      <c r="AN775" s="1" t="s">
        <v>3087</v>
      </c>
      <c r="AO775" s="2">
        <v>43892.0</v>
      </c>
      <c r="AP775" s="2">
        <v>43892.4616087963</v>
      </c>
      <c r="AQ775" s="1" t="s">
        <v>80</v>
      </c>
      <c r="AR775" s="1" t="s">
        <v>421</v>
      </c>
      <c r="AS775" s="1"/>
      <c r="AT775" s="2">
        <v>44269.931099537</v>
      </c>
    </row>
    <row r="776" ht="13.5" customHeight="1">
      <c r="A776" s="1"/>
      <c r="B776" s="1" t="s">
        <v>46</v>
      </c>
      <c r="C776" s="1" t="s">
        <v>47</v>
      </c>
      <c r="D776" s="1"/>
      <c r="E776" s="1" t="s">
        <v>3448</v>
      </c>
      <c r="F776" s="1"/>
      <c r="G776" s="1" t="s">
        <v>49</v>
      </c>
      <c r="H776" s="1" t="s">
        <v>50</v>
      </c>
      <c r="I776" s="1">
        <v>405000.0</v>
      </c>
      <c r="J776" s="1"/>
      <c r="K776" s="1" t="s">
        <v>51</v>
      </c>
      <c r="L776" s="1"/>
      <c r="M776" s="1" t="s">
        <v>3449</v>
      </c>
      <c r="N776" s="1" t="s">
        <v>977</v>
      </c>
      <c r="O776" s="1" t="s">
        <v>978</v>
      </c>
      <c r="P776" s="2">
        <v>43801.8246064815</v>
      </c>
      <c r="Q776" s="1" t="s">
        <v>74</v>
      </c>
      <c r="R776" s="1"/>
      <c r="S776" s="1"/>
      <c r="T776" s="1">
        <v>3550308.0</v>
      </c>
      <c r="U776" s="1" t="s">
        <v>607</v>
      </c>
      <c r="V776" s="1" t="s">
        <v>58</v>
      </c>
      <c r="W776" s="1" t="s">
        <v>59</v>
      </c>
      <c r="X776" s="1"/>
      <c r="Y776" s="1"/>
      <c r="Z776" s="1" t="s">
        <v>980</v>
      </c>
      <c r="AA776" s="1" t="s">
        <v>3450</v>
      </c>
      <c r="AB776" s="1" t="str">
        <f>"59105999000186"</f>
        <v>59105999000186</v>
      </c>
      <c r="AC776" s="1"/>
      <c r="AD776" s="1" t="s">
        <v>149</v>
      </c>
      <c r="AE776" s="1"/>
      <c r="AF776" s="1">
        <v>-46.638889</v>
      </c>
      <c r="AG776" s="1">
        <v>-23.548889</v>
      </c>
      <c r="AH776" s="1" t="s">
        <v>3451</v>
      </c>
      <c r="AI776" s="1"/>
      <c r="AJ776" s="1" t="s">
        <v>172</v>
      </c>
      <c r="AK776" s="1"/>
      <c r="AL776" s="1"/>
      <c r="AM776" s="1" t="s">
        <v>65</v>
      </c>
      <c r="AN776" s="1" t="s">
        <v>983</v>
      </c>
      <c r="AO776" s="1"/>
      <c r="AP776" s="2">
        <v>44014.8109375</v>
      </c>
      <c r="AQ776" s="1"/>
      <c r="AR776" s="1" t="s">
        <v>229</v>
      </c>
      <c r="AS776" s="1" t="s">
        <v>2695</v>
      </c>
      <c r="AT776" s="2">
        <v>44269.931099537</v>
      </c>
    </row>
    <row r="777" ht="13.5" customHeight="1">
      <c r="A777" s="1"/>
      <c r="B777" s="1" t="s">
        <v>46</v>
      </c>
      <c r="C777" s="1" t="s">
        <v>47</v>
      </c>
      <c r="D777" s="1"/>
      <c r="E777" s="1" t="s">
        <v>3452</v>
      </c>
      <c r="F777" s="1"/>
      <c r="G777" s="1" t="s">
        <v>49</v>
      </c>
      <c r="H777" s="1" t="s">
        <v>93</v>
      </c>
      <c r="I777" s="1">
        <v>61000.0</v>
      </c>
      <c r="J777" s="1"/>
      <c r="K777" s="1" t="s">
        <v>51</v>
      </c>
      <c r="L777" s="1"/>
      <c r="M777" s="1" t="s">
        <v>3453</v>
      </c>
      <c r="N777" s="1" t="s">
        <v>142</v>
      </c>
      <c r="O777" s="1" t="s">
        <v>143</v>
      </c>
      <c r="P777" s="2">
        <v>43801.814537037</v>
      </c>
      <c r="Q777" s="1" t="s">
        <v>74</v>
      </c>
      <c r="R777" s="1"/>
      <c r="S777" s="1"/>
      <c r="T777" s="1">
        <v>1101492.0</v>
      </c>
      <c r="U777" s="1" t="s">
        <v>2181</v>
      </c>
      <c r="V777" s="1" t="s">
        <v>448</v>
      </c>
      <c r="W777" s="1" t="s">
        <v>177</v>
      </c>
      <c r="X777" s="1"/>
      <c r="Y777" s="1"/>
      <c r="Z777" s="1" t="s">
        <v>147</v>
      </c>
      <c r="AA777" s="1" t="s">
        <v>3454</v>
      </c>
      <c r="AB777" s="1" t="str">
        <f>"***007709**"</f>
        <v>***007709**</v>
      </c>
      <c r="AC777" s="1"/>
      <c r="AD777" s="1" t="s">
        <v>149</v>
      </c>
      <c r="AE777" s="1"/>
      <c r="AF777" s="1">
        <v>-64.142776</v>
      </c>
      <c r="AG777" s="1">
        <v>-12.200556</v>
      </c>
      <c r="AH777" s="1" t="s">
        <v>3455</v>
      </c>
      <c r="AI777" s="1"/>
      <c r="AJ777" s="1" t="s">
        <v>172</v>
      </c>
      <c r="AK777" s="1"/>
      <c r="AL777" s="1"/>
      <c r="AM777" s="1" t="s">
        <v>65</v>
      </c>
      <c r="AN777" s="1" t="s">
        <v>1395</v>
      </c>
      <c r="AO777" s="1"/>
      <c r="AP777" s="2">
        <v>43801.820162037</v>
      </c>
      <c r="AQ777" s="1"/>
      <c r="AR777" s="1" t="s">
        <v>793</v>
      </c>
      <c r="AS777" s="1"/>
      <c r="AT777" s="2">
        <v>44269.931099537</v>
      </c>
    </row>
    <row r="778" ht="13.5" customHeight="1">
      <c r="A778" s="1"/>
      <c r="B778" s="1" t="s">
        <v>46</v>
      </c>
      <c r="C778" s="1" t="s">
        <v>47</v>
      </c>
      <c r="D778" s="1"/>
      <c r="E778" s="1" t="s">
        <v>3456</v>
      </c>
      <c r="F778" s="1"/>
      <c r="G778" s="1" t="s">
        <v>49</v>
      </c>
      <c r="H778" s="1" t="s">
        <v>93</v>
      </c>
      <c r="I778" s="1">
        <v>20000.0</v>
      </c>
      <c r="J778" s="1"/>
      <c r="K778" s="1"/>
      <c r="L778" s="1"/>
      <c r="M778" s="1" t="s">
        <v>3457</v>
      </c>
      <c r="N778" s="1" t="s">
        <v>142</v>
      </c>
      <c r="O778" s="1" t="s">
        <v>143</v>
      </c>
      <c r="P778" s="2">
        <v>43801.8081018519</v>
      </c>
      <c r="Q778" s="1" t="s">
        <v>74</v>
      </c>
      <c r="R778" s="1"/>
      <c r="S778" s="1"/>
      <c r="T778" s="1">
        <v>1101492.0</v>
      </c>
      <c r="U778" s="1" t="s">
        <v>2181</v>
      </c>
      <c r="V778" s="1" t="s">
        <v>448</v>
      </c>
      <c r="W778" s="1" t="s">
        <v>177</v>
      </c>
      <c r="X778" s="1"/>
      <c r="Y778" s="1"/>
      <c r="Z778" s="1" t="s">
        <v>147</v>
      </c>
      <c r="AA778" s="1" t="s">
        <v>3458</v>
      </c>
      <c r="AB778" s="1" t="str">
        <f>"***581172**"</f>
        <v>***581172**</v>
      </c>
      <c r="AC778" s="1"/>
      <c r="AD778" s="1" t="s">
        <v>62</v>
      </c>
      <c r="AE778" s="1"/>
      <c r="AF778" s="1">
        <v>-64.078888</v>
      </c>
      <c r="AG778" s="1">
        <v>-12.195556</v>
      </c>
      <c r="AH778" s="1" t="s">
        <v>3459</v>
      </c>
      <c r="AI778" s="1"/>
      <c r="AJ778" s="1" t="s">
        <v>172</v>
      </c>
      <c r="AK778" s="1"/>
      <c r="AL778" s="1"/>
      <c r="AM778" s="1" t="s">
        <v>65</v>
      </c>
      <c r="AN778" s="1" t="s">
        <v>1395</v>
      </c>
      <c r="AO778" s="1"/>
      <c r="AP778" s="2">
        <v>43801.8284606481</v>
      </c>
      <c r="AQ778" s="1"/>
      <c r="AR778" s="1" t="s">
        <v>793</v>
      </c>
      <c r="AS778" s="1"/>
      <c r="AT778" s="2">
        <v>44269.931099537</v>
      </c>
    </row>
    <row r="779" ht="13.5" customHeight="1">
      <c r="A779" s="1"/>
      <c r="B779" s="1" t="s">
        <v>46</v>
      </c>
      <c r="C779" s="1" t="s">
        <v>47</v>
      </c>
      <c r="D779" s="1"/>
      <c r="E779" s="1" t="s">
        <v>3460</v>
      </c>
      <c r="F779" s="1"/>
      <c r="G779" s="1" t="s">
        <v>49</v>
      </c>
      <c r="H779" s="1" t="s">
        <v>93</v>
      </c>
      <c r="I779" s="1">
        <v>20000.0</v>
      </c>
      <c r="J779" s="1"/>
      <c r="K779" s="1" t="s">
        <v>51</v>
      </c>
      <c r="L779" s="1"/>
      <c r="M779" s="1" t="s">
        <v>3461</v>
      </c>
      <c r="N779" s="1" t="s">
        <v>142</v>
      </c>
      <c r="O779" s="1" t="s">
        <v>143</v>
      </c>
      <c r="P779" s="2">
        <v>43801.7937384259</v>
      </c>
      <c r="Q779" s="1" t="s">
        <v>74</v>
      </c>
      <c r="R779" s="1"/>
      <c r="S779" s="1"/>
      <c r="T779" s="1">
        <v>1100080.0</v>
      </c>
      <c r="U779" s="1" t="s">
        <v>1392</v>
      </c>
      <c r="V779" s="1" t="s">
        <v>448</v>
      </c>
      <c r="W779" s="1" t="s">
        <v>177</v>
      </c>
      <c r="X779" s="1"/>
      <c r="Y779" s="1"/>
      <c r="Z779" s="1" t="s">
        <v>147</v>
      </c>
      <c r="AA779" s="1" t="s">
        <v>3462</v>
      </c>
      <c r="AB779" s="1" t="str">
        <f>"***826032**"</f>
        <v>***826032**</v>
      </c>
      <c r="AC779" s="1"/>
      <c r="AD779" s="1" t="s">
        <v>149</v>
      </c>
      <c r="AE779" s="1"/>
      <c r="AF779" s="1">
        <v>-64.070839</v>
      </c>
      <c r="AG779" s="1">
        <v>-12.314445</v>
      </c>
      <c r="AH779" s="1" t="s">
        <v>3463</v>
      </c>
      <c r="AI779" s="1"/>
      <c r="AJ779" s="1" t="s">
        <v>172</v>
      </c>
      <c r="AK779" s="1"/>
      <c r="AL779" s="1"/>
      <c r="AM779" s="1" t="s">
        <v>65</v>
      </c>
      <c r="AN779" s="1" t="s">
        <v>1395</v>
      </c>
      <c r="AO779" s="1"/>
      <c r="AP779" s="2">
        <v>43801.8018171296</v>
      </c>
      <c r="AQ779" s="1"/>
      <c r="AR779" s="1" t="s">
        <v>793</v>
      </c>
      <c r="AS779" s="1"/>
      <c r="AT779" s="2">
        <v>44269.931099537</v>
      </c>
    </row>
    <row r="780" ht="13.5" customHeight="1">
      <c r="A780" s="1">
        <v>2035313.0</v>
      </c>
      <c r="B780" s="1" t="s">
        <v>67</v>
      </c>
      <c r="C780" s="1" t="s">
        <v>68</v>
      </c>
      <c r="D780" s="1" t="s">
        <v>46</v>
      </c>
      <c r="E780" s="1" t="s">
        <v>3464</v>
      </c>
      <c r="F780" s="1"/>
      <c r="G780" s="1" t="s">
        <v>70</v>
      </c>
      <c r="H780" s="1" t="s">
        <v>50</v>
      </c>
      <c r="I780" s="1">
        <v>60000.0</v>
      </c>
      <c r="J780" s="1"/>
      <c r="K780" s="1"/>
      <c r="L780" s="1" t="s">
        <v>196</v>
      </c>
      <c r="M780" s="1" t="s">
        <v>3465</v>
      </c>
      <c r="N780" s="1" t="s">
        <v>142</v>
      </c>
      <c r="O780" s="1" t="s">
        <v>143</v>
      </c>
      <c r="P780" s="2">
        <v>43801.7916666667</v>
      </c>
      <c r="Q780" s="1" t="s">
        <v>373</v>
      </c>
      <c r="R780" s="3">
        <v>43801.0</v>
      </c>
      <c r="S780" s="1"/>
      <c r="T780" s="1">
        <v>1505809.0</v>
      </c>
      <c r="U780" s="1" t="s">
        <v>3084</v>
      </c>
      <c r="V780" s="1" t="s">
        <v>193</v>
      </c>
      <c r="W780" s="1" t="s">
        <v>177</v>
      </c>
      <c r="X780" s="1"/>
      <c r="Y780" s="1" t="str">
        <f>"02018001531202016"</f>
        <v>02018001531202016</v>
      </c>
      <c r="Z780" s="1" t="s">
        <v>147</v>
      </c>
      <c r="AA780" s="1" t="s">
        <v>3466</v>
      </c>
      <c r="AB780" s="1" t="str">
        <f t="shared" ref="AB780:AB781" si="34">"***808802**"</f>
        <v>***808802**</v>
      </c>
      <c r="AC780" s="1"/>
      <c r="AD780" s="1"/>
      <c r="AE780" s="1"/>
      <c r="AF780" s="1">
        <v>-50.686668</v>
      </c>
      <c r="AG780" s="1">
        <v>-3.411667</v>
      </c>
      <c r="AH780" s="1" t="s">
        <v>3467</v>
      </c>
      <c r="AI780" s="1"/>
      <c r="AJ780" s="1" t="s">
        <v>196</v>
      </c>
      <c r="AK780" s="1"/>
      <c r="AL780" s="1" t="s">
        <v>79</v>
      </c>
      <c r="AM780" s="1" t="s">
        <v>65</v>
      </c>
      <c r="AN780" s="1" t="s">
        <v>3087</v>
      </c>
      <c r="AO780" s="2">
        <v>43900.0</v>
      </c>
      <c r="AP780" s="2">
        <v>43900.6933564815</v>
      </c>
      <c r="AQ780" s="1" t="s">
        <v>80</v>
      </c>
      <c r="AR780" s="1" t="s">
        <v>1607</v>
      </c>
      <c r="AS780" s="1"/>
      <c r="AT780" s="2">
        <v>44269.931099537</v>
      </c>
    </row>
    <row r="781" ht="13.5" customHeight="1">
      <c r="A781" s="1">
        <v>2035316.0</v>
      </c>
      <c r="B781" s="1" t="s">
        <v>67</v>
      </c>
      <c r="C781" s="1" t="s">
        <v>89</v>
      </c>
      <c r="D781" s="1" t="s">
        <v>67</v>
      </c>
      <c r="E781" s="1" t="s">
        <v>3468</v>
      </c>
      <c r="F781" s="1"/>
      <c r="G781" s="1" t="s">
        <v>70</v>
      </c>
      <c r="H781" s="1" t="s">
        <v>93</v>
      </c>
      <c r="I781" s="1">
        <v>90000.0</v>
      </c>
      <c r="J781" s="1"/>
      <c r="K781" s="1"/>
      <c r="L781" s="1" t="s">
        <v>196</v>
      </c>
      <c r="M781" s="1" t="s">
        <v>3469</v>
      </c>
      <c r="N781" s="1" t="s">
        <v>142</v>
      </c>
      <c r="O781" s="1" t="s">
        <v>143</v>
      </c>
      <c r="P781" s="2">
        <v>43801.7916666667</v>
      </c>
      <c r="Q781" s="1" t="s">
        <v>373</v>
      </c>
      <c r="R781" s="3">
        <v>43801.0</v>
      </c>
      <c r="S781" s="1"/>
      <c r="T781" s="1">
        <v>1505809.0</v>
      </c>
      <c r="U781" s="1" t="s">
        <v>3084</v>
      </c>
      <c r="V781" s="1" t="s">
        <v>193</v>
      </c>
      <c r="W781" s="1" t="s">
        <v>177</v>
      </c>
      <c r="X781" s="1"/>
      <c r="Y781" s="1" t="str">
        <f>"02018001534202041"</f>
        <v>02018001534202041</v>
      </c>
      <c r="Z781" s="1" t="s">
        <v>147</v>
      </c>
      <c r="AA781" s="1" t="s">
        <v>3466</v>
      </c>
      <c r="AB781" s="1" t="str">
        <f t="shared" si="34"/>
        <v>***808802**</v>
      </c>
      <c r="AC781" s="1"/>
      <c r="AD781" s="1"/>
      <c r="AE781" s="1"/>
      <c r="AF781" s="1">
        <v>-50.686668</v>
      </c>
      <c r="AG781" s="1">
        <v>-3.411944</v>
      </c>
      <c r="AH781" s="1" t="s">
        <v>3470</v>
      </c>
      <c r="AI781" s="1"/>
      <c r="AJ781" s="1" t="s">
        <v>196</v>
      </c>
      <c r="AK781" s="1"/>
      <c r="AL781" s="1" t="s">
        <v>79</v>
      </c>
      <c r="AM781" s="1" t="s">
        <v>65</v>
      </c>
      <c r="AN781" s="1" t="s">
        <v>3087</v>
      </c>
      <c r="AO781" s="2">
        <v>43900.0</v>
      </c>
      <c r="AP781" s="2">
        <v>44005.3461111111</v>
      </c>
      <c r="AQ781" s="1" t="s">
        <v>89</v>
      </c>
      <c r="AR781" s="1" t="s">
        <v>421</v>
      </c>
      <c r="AS781" s="1"/>
      <c r="AT781" s="2">
        <v>44269.931099537</v>
      </c>
    </row>
    <row r="782" ht="13.5" customHeight="1">
      <c r="A782" s="1">
        <v>2037933.0</v>
      </c>
      <c r="B782" s="1" t="s">
        <v>67</v>
      </c>
      <c r="C782" s="1" t="s">
        <v>68</v>
      </c>
      <c r="D782" s="1" t="s">
        <v>46</v>
      </c>
      <c r="E782" s="1" t="s">
        <v>3471</v>
      </c>
      <c r="F782" s="1"/>
      <c r="G782" s="1" t="s">
        <v>70</v>
      </c>
      <c r="H782" s="1" t="s">
        <v>50</v>
      </c>
      <c r="I782" s="1">
        <v>205000.0</v>
      </c>
      <c r="J782" s="1"/>
      <c r="K782" s="1"/>
      <c r="L782" s="1" t="s">
        <v>65</v>
      </c>
      <c r="M782" s="1" t="s">
        <v>220</v>
      </c>
      <c r="N782" s="1" t="s">
        <v>283</v>
      </c>
      <c r="O782" s="1" t="s">
        <v>978</v>
      </c>
      <c r="P782" s="2">
        <v>43801.7916666667</v>
      </c>
      <c r="Q782" s="1" t="s">
        <v>74</v>
      </c>
      <c r="R782" s="1"/>
      <c r="S782" s="1"/>
      <c r="T782" s="1">
        <v>3550308.0</v>
      </c>
      <c r="U782" s="1" t="s">
        <v>607</v>
      </c>
      <c r="V782" s="1" t="s">
        <v>58</v>
      </c>
      <c r="W782" s="1" t="s">
        <v>59</v>
      </c>
      <c r="X782" s="1"/>
      <c r="Y782" s="1" t="str">
        <f>"02001034359201914"</f>
        <v>02001034359201914</v>
      </c>
      <c r="Z782" s="1" t="s">
        <v>980</v>
      </c>
      <c r="AA782" s="1" t="s">
        <v>3472</v>
      </c>
      <c r="AB782" s="1" t="str">
        <f>"53877627000191"</f>
        <v>53877627000191</v>
      </c>
      <c r="AC782" s="1"/>
      <c r="AD782" s="1" t="s">
        <v>116</v>
      </c>
      <c r="AE782" s="1"/>
      <c r="AF782" s="1">
        <v>-46.636667</v>
      </c>
      <c r="AG782" s="1">
        <v>-23.5475</v>
      </c>
      <c r="AH782" s="1" t="s">
        <v>3473</v>
      </c>
      <c r="AI782" s="1"/>
      <c r="AJ782" s="1" t="s">
        <v>172</v>
      </c>
      <c r="AK782" s="1"/>
      <c r="AL782" s="1" t="s">
        <v>118</v>
      </c>
      <c r="AM782" s="1" t="s">
        <v>65</v>
      </c>
      <c r="AN782" s="1" t="s">
        <v>983</v>
      </c>
      <c r="AO782" s="2">
        <v>44014.0</v>
      </c>
      <c r="AP782" s="2">
        <v>44014.6887847222</v>
      </c>
      <c r="AQ782" s="1" t="s">
        <v>80</v>
      </c>
      <c r="AR782" s="1" t="s">
        <v>462</v>
      </c>
      <c r="AS782" s="1"/>
      <c r="AT782" s="2">
        <v>44269.931099537</v>
      </c>
    </row>
    <row r="783" ht="13.5" customHeight="1">
      <c r="A783" s="1"/>
      <c r="B783" s="1" t="s">
        <v>46</v>
      </c>
      <c r="C783" s="1" t="s">
        <v>47</v>
      </c>
      <c r="D783" s="1"/>
      <c r="E783" s="1" t="s">
        <v>3474</v>
      </c>
      <c r="F783" s="1"/>
      <c r="G783" s="1" t="s">
        <v>49</v>
      </c>
      <c r="H783" s="1" t="s">
        <v>93</v>
      </c>
      <c r="I783" s="1">
        <v>45000.0</v>
      </c>
      <c r="J783" s="1"/>
      <c r="K783" s="1"/>
      <c r="L783" s="1"/>
      <c r="M783" s="1" t="s">
        <v>3475</v>
      </c>
      <c r="N783" s="1" t="s">
        <v>142</v>
      </c>
      <c r="O783" s="1" t="s">
        <v>143</v>
      </c>
      <c r="P783" s="2">
        <v>43801.7837268519</v>
      </c>
      <c r="Q783" s="1" t="s">
        <v>373</v>
      </c>
      <c r="R783" s="1"/>
      <c r="S783" s="1"/>
      <c r="T783" s="1">
        <v>1200302.0</v>
      </c>
      <c r="U783" s="1" t="s">
        <v>3319</v>
      </c>
      <c r="V783" s="1" t="s">
        <v>498</v>
      </c>
      <c r="W783" s="1" t="s">
        <v>177</v>
      </c>
      <c r="X783" s="1"/>
      <c r="Y783" s="1"/>
      <c r="Z783" s="1" t="s">
        <v>147</v>
      </c>
      <c r="AA783" s="1" t="s">
        <v>3476</v>
      </c>
      <c r="AB783" s="1" t="str">
        <f>"***214662**"</f>
        <v>***214662**</v>
      </c>
      <c r="AC783" s="1">
        <v>8.37</v>
      </c>
      <c r="AD783" s="1" t="s">
        <v>116</v>
      </c>
      <c r="AE783" s="1"/>
      <c r="AF783" s="1">
        <v>-70.056389</v>
      </c>
      <c r="AG783" s="1">
        <v>-8.523611</v>
      </c>
      <c r="AH783" s="1" t="s">
        <v>3477</v>
      </c>
      <c r="AI783" s="1"/>
      <c r="AJ783" s="1" t="s">
        <v>3322</v>
      </c>
      <c r="AK783" s="1"/>
      <c r="AL783" s="1"/>
      <c r="AM783" s="1" t="s">
        <v>65</v>
      </c>
      <c r="AN783" s="1" t="s">
        <v>3305</v>
      </c>
      <c r="AO783" s="1"/>
      <c r="AP783" s="2">
        <v>43957.4509027778</v>
      </c>
      <c r="AQ783" s="1"/>
      <c r="AR783" s="1" t="s">
        <v>3478</v>
      </c>
      <c r="AS783" s="1"/>
      <c r="AT783" s="2">
        <v>44269.931099537</v>
      </c>
    </row>
    <row r="784" ht="13.5" customHeight="1">
      <c r="A784" s="1"/>
      <c r="B784" s="1" t="s">
        <v>46</v>
      </c>
      <c r="C784" s="1" t="s">
        <v>47</v>
      </c>
      <c r="D784" s="1"/>
      <c r="E784" s="1" t="s">
        <v>3479</v>
      </c>
      <c r="F784" s="1"/>
      <c r="G784" s="1" t="s">
        <v>49</v>
      </c>
      <c r="H784" s="1" t="s">
        <v>93</v>
      </c>
      <c r="I784" s="1">
        <v>10800.0</v>
      </c>
      <c r="J784" s="1"/>
      <c r="K784" s="1"/>
      <c r="L784" s="1"/>
      <c r="M784" s="1" t="s">
        <v>3480</v>
      </c>
      <c r="N784" s="1" t="s">
        <v>142</v>
      </c>
      <c r="O784" s="1" t="s">
        <v>143</v>
      </c>
      <c r="P784" s="2">
        <v>43801.7677430556</v>
      </c>
      <c r="Q784" s="1" t="s">
        <v>373</v>
      </c>
      <c r="R784" s="1"/>
      <c r="S784" s="1"/>
      <c r="T784" s="1">
        <v>2414456.0</v>
      </c>
      <c r="U784" s="1" t="s">
        <v>3481</v>
      </c>
      <c r="V784" s="1" t="s">
        <v>1424</v>
      </c>
      <c r="W784" s="1" t="s">
        <v>113</v>
      </c>
      <c r="X784" s="1"/>
      <c r="Y784" s="1"/>
      <c r="Z784" s="1" t="s">
        <v>147</v>
      </c>
      <c r="AA784" s="1" t="s">
        <v>3482</v>
      </c>
      <c r="AB784" s="1" t="str">
        <f>"***139834**"</f>
        <v>***139834**</v>
      </c>
      <c r="AC784" s="1"/>
      <c r="AD784" s="1" t="s">
        <v>62</v>
      </c>
      <c r="AE784" s="1"/>
      <c r="AF784" s="1">
        <v>-37.219723</v>
      </c>
      <c r="AG784" s="1">
        <v>-5.993889</v>
      </c>
      <c r="AH784" s="1" t="s">
        <v>3483</v>
      </c>
      <c r="AI784" s="1"/>
      <c r="AJ784" s="1" t="s">
        <v>3484</v>
      </c>
      <c r="AK784" s="1"/>
      <c r="AL784" s="1"/>
      <c r="AM784" s="1" t="s">
        <v>65</v>
      </c>
      <c r="AN784" s="1" t="s">
        <v>1427</v>
      </c>
      <c r="AO784" s="1"/>
      <c r="AP784" s="2">
        <v>43801.8409953704</v>
      </c>
      <c r="AQ784" s="1"/>
      <c r="AR784" s="1" t="s">
        <v>280</v>
      </c>
      <c r="AS784" s="1"/>
      <c r="AT784" s="2">
        <v>44269.931099537</v>
      </c>
    </row>
    <row r="785" ht="13.5" customHeight="1">
      <c r="A785" s="1"/>
      <c r="B785" s="1" t="s">
        <v>46</v>
      </c>
      <c r="C785" s="1" t="s">
        <v>47</v>
      </c>
      <c r="D785" s="1"/>
      <c r="E785" s="1" t="s">
        <v>3485</v>
      </c>
      <c r="F785" s="1"/>
      <c r="G785" s="1" t="s">
        <v>49</v>
      </c>
      <c r="H785" s="1" t="s">
        <v>93</v>
      </c>
      <c r="I785" s="1">
        <v>55000.0</v>
      </c>
      <c r="J785" s="1"/>
      <c r="K785" s="1"/>
      <c r="L785" s="1"/>
      <c r="M785" s="1" t="s">
        <v>3486</v>
      </c>
      <c r="N785" s="1" t="s">
        <v>142</v>
      </c>
      <c r="O785" s="1" t="s">
        <v>143</v>
      </c>
      <c r="P785" s="2">
        <v>43801.7140625</v>
      </c>
      <c r="Q785" s="1" t="s">
        <v>373</v>
      </c>
      <c r="R785" s="1"/>
      <c r="S785" s="1"/>
      <c r="T785" s="1">
        <v>1200302.0</v>
      </c>
      <c r="U785" s="1" t="s">
        <v>3319</v>
      </c>
      <c r="V785" s="1" t="s">
        <v>498</v>
      </c>
      <c r="W785" s="1" t="s">
        <v>177</v>
      </c>
      <c r="X785" s="1"/>
      <c r="Y785" s="1"/>
      <c r="Z785" s="1" t="s">
        <v>147</v>
      </c>
      <c r="AA785" s="1" t="s">
        <v>3487</v>
      </c>
      <c r="AB785" s="1" t="str">
        <f>"***379922**"</f>
        <v>***379922**</v>
      </c>
      <c r="AC785" s="1">
        <v>10.08</v>
      </c>
      <c r="AD785" s="1" t="s">
        <v>116</v>
      </c>
      <c r="AE785" s="1"/>
      <c r="AF785" s="1">
        <v>-70.389442</v>
      </c>
      <c r="AG785" s="1">
        <v>-8.206388</v>
      </c>
      <c r="AH785" s="1" t="s">
        <v>3488</v>
      </c>
      <c r="AI785" s="1"/>
      <c r="AJ785" s="1" t="s">
        <v>3322</v>
      </c>
      <c r="AK785" s="1"/>
      <c r="AL785" s="1"/>
      <c r="AM785" s="1" t="s">
        <v>65</v>
      </c>
      <c r="AN785" s="1" t="s">
        <v>3305</v>
      </c>
      <c r="AO785" s="1"/>
      <c r="AP785" s="2">
        <v>43957.4509837963</v>
      </c>
      <c r="AQ785" s="1"/>
      <c r="AR785" s="1" t="s">
        <v>3478</v>
      </c>
      <c r="AS785" s="1"/>
      <c r="AT785" s="2">
        <v>44269.931099537</v>
      </c>
    </row>
    <row r="786" ht="13.5" customHeight="1">
      <c r="A786" s="1">
        <v>2035845.0</v>
      </c>
      <c r="B786" s="1" t="s">
        <v>67</v>
      </c>
      <c r="C786" s="1" t="s">
        <v>68</v>
      </c>
      <c r="D786" s="1" t="s">
        <v>46</v>
      </c>
      <c r="E786" s="1" t="s">
        <v>3489</v>
      </c>
      <c r="F786" s="1"/>
      <c r="G786" s="1" t="s">
        <v>70</v>
      </c>
      <c r="H786" s="1" t="s">
        <v>93</v>
      </c>
      <c r="I786" s="1">
        <v>130000.0</v>
      </c>
      <c r="J786" s="1"/>
      <c r="K786" s="1"/>
      <c r="L786" s="1" t="s">
        <v>196</v>
      </c>
      <c r="M786" s="1" t="s">
        <v>3490</v>
      </c>
      <c r="N786" s="1" t="s">
        <v>142</v>
      </c>
      <c r="O786" s="1" t="s">
        <v>143</v>
      </c>
      <c r="P786" s="2">
        <v>43801.7083333333</v>
      </c>
      <c r="Q786" s="1" t="s">
        <v>373</v>
      </c>
      <c r="R786" s="3">
        <v>43801.0</v>
      </c>
      <c r="S786" s="1"/>
      <c r="T786" s="1">
        <v>1500859.0</v>
      </c>
      <c r="U786" s="1" t="s">
        <v>3491</v>
      </c>
      <c r="V786" s="1" t="s">
        <v>193</v>
      </c>
      <c r="W786" s="1" t="s">
        <v>177</v>
      </c>
      <c r="X786" s="1"/>
      <c r="Y786" s="1" t="str">
        <f>"02018001916202075"</f>
        <v>02018001916202075</v>
      </c>
      <c r="Z786" s="1" t="s">
        <v>147</v>
      </c>
      <c r="AA786" s="1" t="s">
        <v>3492</v>
      </c>
      <c r="AB786" s="1" t="str">
        <f t="shared" ref="AB786:AB787" si="35">"***050712**"</f>
        <v>***050712**</v>
      </c>
      <c r="AC786" s="1"/>
      <c r="AD786" s="1"/>
      <c r="AE786" s="1"/>
      <c r="AF786" s="1">
        <v>-51.401112</v>
      </c>
      <c r="AG786" s="1">
        <v>-3.546389</v>
      </c>
      <c r="AH786" s="1" t="s">
        <v>3493</v>
      </c>
      <c r="AI786" s="1"/>
      <c r="AJ786" s="1" t="s">
        <v>196</v>
      </c>
      <c r="AK786" s="1"/>
      <c r="AL786" s="1" t="s">
        <v>79</v>
      </c>
      <c r="AM786" s="1" t="s">
        <v>65</v>
      </c>
      <c r="AN786" s="1" t="s">
        <v>3087</v>
      </c>
      <c r="AO786" s="2">
        <v>43920.0</v>
      </c>
      <c r="AP786" s="2">
        <v>43920.790474537</v>
      </c>
      <c r="AQ786" s="1" t="s">
        <v>80</v>
      </c>
      <c r="AR786" s="1" t="s">
        <v>3494</v>
      </c>
      <c r="AS786" s="1"/>
      <c r="AT786" s="2">
        <v>44269.931099537</v>
      </c>
    </row>
    <row r="787" ht="13.5" customHeight="1">
      <c r="A787" s="1">
        <v>2035846.0</v>
      </c>
      <c r="B787" s="1" t="s">
        <v>67</v>
      </c>
      <c r="C787" s="1" t="s">
        <v>68</v>
      </c>
      <c r="D787" s="1" t="s">
        <v>46</v>
      </c>
      <c r="E787" s="1" t="s">
        <v>3495</v>
      </c>
      <c r="F787" s="1"/>
      <c r="G787" s="1" t="s">
        <v>70</v>
      </c>
      <c r="H787" s="1" t="s">
        <v>50</v>
      </c>
      <c r="I787" s="1">
        <v>20000.0</v>
      </c>
      <c r="J787" s="1"/>
      <c r="K787" s="1"/>
      <c r="L787" s="1" t="s">
        <v>196</v>
      </c>
      <c r="M787" s="1" t="s">
        <v>3496</v>
      </c>
      <c r="N787" s="1" t="s">
        <v>72</v>
      </c>
      <c r="O787" s="1" t="s">
        <v>73</v>
      </c>
      <c r="P787" s="2">
        <v>43801.7083333333</v>
      </c>
      <c r="Q787" s="1" t="s">
        <v>373</v>
      </c>
      <c r="R787" s="3">
        <v>43801.0</v>
      </c>
      <c r="S787" s="1"/>
      <c r="T787" s="1">
        <v>1500859.0</v>
      </c>
      <c r="U787" s="1" t="s">
        <v>3491</v>
      </c>
      <c r="V787" s="1" t="s">
        <v>193</v>
      </c>
      <c r="W787" s="1" t="s">
        <v>177</v>
      </c>
      <c r="X787" s="1"/>
      <c r="Y787" s="1" t="str">
        <f>"02018001917202010"</f>
        <v>02018001917202010</v>
      </c>
      <c r="Z787" s="1" t="s">
        <v>76</v>
      </c>
      <c r="AA787" s="1" t="s">
        <v>3492</v>
      </c>
      <c r="AB787" s="1" t="str">
        <f t="shared" si="35"/>
        <v>***050712**</v>
      </c>
      <c r="AC787" s="1"/>
      <c r="AD787" s="1"/>
      <c r="AE787" s="1"/>
      <c r="AF787" s="1">
        <v>-51.401112</v>
      </c>
      <c r="AG787" s="1">
        <v>-3.546389</v>
      </c>
      <c r="AH787" s="1" t="s">
        <v>3497</v>
      </c>
      <c r="AI787" s="1"/>
      <c r="AJ787" s="1" t="s">
        <v>196</v>
      </c>
      <c r="AK787" s="1"/>
      <c r="AL787" s="1" t="s">
        <v>79</v>
      </c>
      <c r="AM787" s="1" t="s">
        <v>65</v>
      </c>
      <c r="AN787" s="1" t="s">
        <v>3087</v>
      </c>
      <c r="AO787" s="2">
        <v>43920.0</v>
      </c>
      <c r="AP787" s="2">
        <v>43920.7908101852</v>
      </c>
      <c r="AQ787" s="1" t="s">
        <v>80</v>
      </c>
      <c r="AR787" s="1" t="s">
        <v>1607</v>
      </c>
      <c r="AS787" s="1"/>
      <c r="AT787" s="2">
        <v>44269.931099537</v>
      </c>
    </row>
    <row r="788" ht="13.5" customHeight="1">
      <c r="A788" s="1"/>
      <c r="B788" s="1" t="s">
        <v>46</v>
      </c>
      <c r="C788" s="1" t="s">
        <v>47</v>
      </c>
      <c r="D788" s="1"/>
      <c r="E788" s="1" t="s">
        <v>3498</v>
      </c>
      <c r="F788" s="1"/>
      <c r="G788" s="1" t="s">
        <v>49</v>
      </c>
      <c r="H788" s="1" t="s">
        <v>50</v>
      </c>
      <c r="I788" s="1">
        <v>405000.0</v>
      </c>
      <c r="J788" s="1"/>
      <c r="K788" s="1" t="s">
        <v>51</v>
      </c>
      <c r="L788" s="1"/>
      <c r="M788" s="1" t="s">
        <v>3449</v>
      </c>
      <c r="N788" s="1" t="s">
        <v>977</v>
      </c>
      <c r="O788" s="1" t="s">
        <v>978</v>
      </c>
      <c r="P788" s="2">
        <v>43801.7025347222</v>
      </c>
      <c r="Q788" s="1" t="s">
        <v>74</v>
      </c>
      <c r="R788" s="1"/>
      <c r="S788" s="1"/>
      <c r="T788" s="1">
        <v>1302603.0</v>
      </c>
      <c r="U788" s="1" t="s">
        <v>3499</v>
      </c>
      <c r="V788" s="1" t="s">
        <v>486</v>
      </c>
      <c r="W788" s="1" t="s">
        <v>177</v>
      </c>
      <c r="X788" s="1"/>
      <c r="Y788" s="1"/>
      <c r="Z788" s="1" t="s">
        <v>980</v>
      </c>
      <c r="AA788" s="1" t="s">
        <v>3500</v>
      </c>
      <c r="AB788" s="1" t="str">
        <f>"04817052000106"</f>
        <v>04817052000106</v>
      </c>
      <c r="AC788" s="1"/>
      <c r="AD788" s="1" t="s">
        <v>149</v>
      </c>
      <c r="AE788" s="1"/>
      <c r="AF788" s="1">
        <v>-60.026112</v>
      </c>
      <c r="AG788" s="1">
        <v>-3.107222</v>
      </c>
      <c r="AH788" s="1" t="s">
        <v>3501</v>
      </c>
      <c r="AI788" s="1"/>
      <c r="AJ788" s="1" t="s">
        <v>172</v>
      </c>
      <c r="AK788" s="1"/>
      <c r="AL788" s="1"/>
      <c r="AM788" s="1" t="s">
        <v>65</v>
      </c>
      <c r="AN788" s="1" t="s">
        <v>983</v>
      </c>
      <c r="AO788" s="1"/>
      <c r="AP788" s="2">
        <v>44014.8110185185</v>
      </c>
      <c r="AQ788" s="1"/>
      <c r="AR788" s="1" t="s">
        <v>229</v>
      </c>
      <c r="AS788" s="1" t="s">
        <v>3502</v>
      </c>
      <c r="AT788" s="2">
        <v>44269.931099537</v>
      </c>
    </row>
    <row r="789" ht="13.5" customHeight="1">
      <c r="A789" s="1"/>
      <c r="B789" s="1" t="s">
        <v>46</v>
      </c>
      <c r="C789" s="1" t="s">
        <v>47</v>
      </c>
      <c r="D789" s="1"/>
      <c r="E789" s="1" t="s">
        <v>3503</v>
      </c>
      <c r="F789" s="1"/>
      <c r="G789" s="1" t="s">
        <v>49</v>
      </c>
      <c r="H789" s="1" t="s">
        <v>50</v>
      </c>
      <c r="I789" s="1">
        <v>105000.0</v>
      </c>
      <c r="J789" s="1"/>
      <c r="K789" s="1" t="s">
        <v>51</v>
      </c>
      <c r="L789" s="1"/>
      <c r="M789" s="1" t="s">
        <v>3504</v>
      </c>
      <c r="N789" s="1" t="s">
        <v>977</v>
      </c>
      <c r="O789" s="1" t="s">
        <v>978</v>
      </c>
      <c r="P789" s="2">
        <v>43801.6523148148</v>
      </c>
      <c r="Q789" s="1" t="s">
        <v>74</v>
      </c>
      <c r="R789" s="1"/>
      <c r="S789" s="1"/>
      <c r="T789" s="1">
        <v>3518800.0</v>
      </c>
      <c r="U789" s="1" t="s">
        <v>57</v>
      </c>
      <c r="V789" s="1" t="s">
        <v>58</v>
      </c>
      <c r="W789" s="1" t="s">
        <v>59</v>
      </c>
      <c r="X789" s="1"/>
      <c r="Y789" s="1"/>
      <c r="Z789" s="1" t="s">
        <v>980</v>
      </c>
      <c r="AA789" s="1" t="s">
        <v>3505</v>
      </c>
      <c r="AB789" s="1" t="str">
        <f>"62934252000145"</f>
        <v>62934252000145</v>
      </c>
      <c r="AC789" s="1"/>
      <c r="AD789" s="1" t="s">
        <v>149</v>
      </c>
      <c r="AE789" s="1"/>
      <c r="AF789" s="1">
        <v>-46.533611</v>
      </c>
      <c r="AG789" s="1">
        <v>-23.463612</v>
      </c>
      <c r="AH789" s="1" t="s">
        <v>3506</v>
      </c>
      <c r="AI789" s="1"/>
      <c r="AJ789" s="1" t="s">
        <v>172</v>
      </c>
      <c r="AK789" s="1"/>
      <c r="AL789" s="1"/>
      <c r="AM789" s="1" t="s">
        <v>65</v>
      </c>
      <c r="AN789" s="1" t="s">
        <v>983</v>
      </c>
      <c r="AO789" s="1"/>
      <c r="AP789" s="2">
        <v>44014.8111226852</v>
      </c>
      <c r="AQ789" s="1"/>
      <c r="AR789" s="1" t="s">
        <v>229</v>
      </c>
      <c r="AS789" s="1" t="s">
        <v>3502</v>
      </c>
      <c r="AT789" s="2">
        <v>44269.931099537</v>
      </c>
    </row>
    <row r="790" ht="13.5" customHeight="1">
      <c r="A790" s="1"/>
      <c r="B790" s="1" t="s">
        <v>46</v>
      </c>
      <c r="C790" s="1" t="s">
        <v>47</v>
      </c>
      <c r="D790" s="1"/>
      <c r="E790" s="1" t="s">
        <v>3507</v>
      </c>
      <c r="F790" s="1"/>
      <c r="G790" s="1" t="s">
        <v>49</v>
      </c>
      <c r="H790" s="1" t="s">
        <v>50</v>
      </c>
      <c r="I790" s="1">
        <v>55000.0</v>
      </c>
      <c r="J790" s="1"/>
      <c r="K790" s="1" t="s">
        <v>51</v>
      </c>
      <c r="L790" s="1"/>
      <c r="M790" s="1" t="s">
        <v>976</v>
      </c>
      <c r="N790" s="1" t="s">
        <v>977</v>
      </c>
      <c r="O790" s="1" t="s">
        <v>978</v>
      </c>
      <c r="P790" s="2">
        <v>43801.6256481482</v>
      </c>
      <c r="Q790" s="1" t="s">
        <v>74</v>
      </c>
      <c r="R790" s="1"/>
      <c r="S790" s="1"/>
      <c r="T790" s="1">
        <v>3550308.0</v>
      </c>
      <c r="U790" s="1" t="s">
        <v>607</v>
      </c>
      <c r="V790" s="1" t="s">
        <v>58</v>
      </c>
      <c r="W790" s="1" t="s">
        <v>59</v>
      </c>
      <c r="X790" s="1"/>
      <c r="Y790" s="1"/>
      <c r="Z790" s="1" t="s">
        <v>980</v>
      </c>
      <c r="AA790" s="1" t="s">
        <v>2865</v>
      </c>
      <c r="AB790" s="1" t="str">
        <f>"02877654000123"</f>
        <v>02877654000123</v>
      </c>
      <c r="AC790" s="1"/>
      <c r="AD790" s="1" t="s">
        <v>149</v>
      </c>
      <c r="AE790" s="1"/>
      <c r="AF790" s="1">
        <v>-46.848057</v>
      </c>
      <c r="AG790" s="1">
        <v>-23.707777</v>
      </c>
      <c r="AH790" s="1" t="s">
        <v>982</v>
      </c>
      <c r="AI790" s="1"/>
      <c r="AJ790" s="1" t="s">
        <v>172</v>
      </c>
      <c r="AK790" s="1"/>
      <c r="AL790" s="1"/>
      <c r="AM790" s="1" t="s">
        <v>65</v>
      </c>
      <c r="AN790" s="1" t="s">
        <v>983</v>
      </c>
      <c r="AO790" s="1"/>
      <c r="AP790" s="2">
        <v>44008.7436226852</v>
      </c>
      <c r="AQ790" s="1"/>
      <c r="AR790" s="1" t="s">
        <v>984</v>
      </c>
      <c r="AS790" s="1" t="s">
        <v>2383</v>
      </c>
      <c r="AT790" s="2">
        <v>44269.931099537</v>
      </c>
    </row>
    <row r="791" ht="13.5" customHeight="1">
      <c r="A791" s="1">
        <v>2035314.0</v>
      </c>
      <c r="B791" s="1" t="s">
        <v>67</v>
      </c>
      <c r="C791" s="1" t="s">
        <v>68</v>
      </c>
      <c r="D791" s="1" t="s">
        <v>46</v>
      </c>
      <c r="E791" s="1" t="s">
        <v>3508</v>
      </c>
      <c r="F791" s="1"/>
      <c r="G791" s="1" t="s">
        <v>70</v>
      </c>
      <c r="H791" s="1" t="s">
        <v>93</v>
      </c>
      <c r="I791" s="1">
        <v>90000.0</v>
      </c>
      <c r="J791" s="1"/>
      <c r="K791" s="1"/>
      <c r="L791" s="1" t="s">
        <v>196</v>
      </c>
      <c r="M791" s="1" t="s">
        <v>3509</v>
      </c>
      <c r="N791" s="1" t="s">
        <v>142</v>
      </c>
      <c r="O791" s="1" t="s">
        <v>143</v>
      </c>
      <c r="P791" s="2">
        <v>43801.625</v>
      </c>
      <c r="Q791" s="1" t="s">
        <v>373</v>
      </c>
      <c r="R791" s="3">
        <v>43801.0</v>
      </c>
      <c r="S791" s="1"/>
      <c r="T791" s="1">
        <v>1505809.0</v>
      </c>
      <c r="U791" s="1" t="s">
        <v>3084</v>
      </c>
      <c r="V791" s="1" t="s">
        <v>193</v>
      </c>
      <c r="W791" s="1" t="s">
        <v>177</v>
      </c>
      <c r="X791" s="1"/>
      <c r="Y791" s="1" t="str">
        <f>"02018001532202052"</f>
        <v>02018001532202052</v>
      </c>
      <c r="Z791" s="1" t="s">
        <v>147</v>
      </c>
      <c r="AA791" s="1" t="s">
        <v>3466</v>
      </c>
      <c r="AB791" s="1" t="str">
        <f>"***808802**"</f>
        <v>***808802**</v>
      </c>
      <c r="AC791" s="1"/>
      <c r="AD791" s="1"/>
      <c r="AE791" s="1"/>
      <c r="AF791" s="1">
        <v>-50.686668</v>
      </c>
      <c r="AG791" s="1">
        <v>-3.411667</v>
      </c>
      <c r="AH791" s="1" t="s">
        <v>3470</v>
      </c>
      <c r="AI791" s="1"/>
      <c r="AJ791" s="1" t="s">
        <v>196</v>
      </c>
      <c r="AK791" s="1"/>
      <c r="AL791" s="1" t="s">
        <v>79</v>
      </c>
      <c r="AM791" s="1" t="s">
        <v>65</v>
      </c>
      <c r="AN791" s="1" t="s">
        <v>3087</v>
      </c>
      <c r="AO791" s="2">
        <v>43900.0</v>
      </c>
      <c r="AP791" s="2">
        <v>43900.693587963</v>
      </c>
      <c r="AQ791" s="1" t="s">
        <v>80</v>
      </c>
      <c r="AR791" s="1" t="s">
        <v>392</v>
      </c>
      <c r="AS791" s="1"/>
      <c r="AT791" s="2">
        <v>44269.931099537</v>
      </c>
    </row>
    <row r="792" ht="13.5" customHeight="1">
      <c r="A792" s="1">
        <v>2039157.0</v>
      </c>
      <c r="B792" s="1" t="s">
        <v>67</v>
      </c>
      <c r="C792" s="1" t="s">
        <v>68</v>
      </c>
      <c r="D792" s="1" t="s">
        <v>46</v>
      </c>
      <c r="E792" s="1" t="s">
        <v>3510</v>
      </c>
      <c r="F792" s="1"/>
      <c r="G792" s="1" t="s">
        <v>70</v>
      </c>
      <c r="H792" s="1" t="s">
        <v>50</v>
      </c>
      <c r="I792" s="1">
        <v>50500.0</v>
      </c>
      <c r="J792" s="1"/>
      <c r="K792" s="1"/>
      <c r="L792" s="1" t="s">
        <v>172</v>
      </c>
      <c r="M792" s="1" t="s">
        <v>3511</v>
      </c>
      <c r="N792" s="1" t="s">
        <v>95</v>
      </c>
      <c r="O792" s="1" t="s">
        <v>96</v>
      </c>
      <c r="P792" s="2">
        <v>43801.625</v>
      </c>
      <c r="Q792" s="1" t="s">
        <v>373</v>
      </c>
      <c r="R792" s="3">
        <v>43801.0</v>
      </c>
      <c r="S792" s="1"/>
      <c r="T792" s="1">
        <v>3106705.0</v>
      </c>
      <c r="U792" s="1" t="s">
        <v>666</v>
      </c>
      <c r="V792" s="1" t="s">
        <v>126</v>
      </c>
      <c r="W792" s="1" t="s">
        <v>59</v>
      </c>
      <c r="X792" s="1"/>
      <c r="Y792" s="1" t="str">
        <f>"02001018495202009"</f>
        <v>02001018495202009</v>
      </c>
      <c r="Z792" s="1" t="s">
        <v>98</v>
      </c>
      <c r="AA792" s="1" t="s">
        <v>3512</v>
      </c>
      <c r="AB792" s="1" t="str">
        <f>"15251660000112"</f>
        <v>15251660000112</v>
      </c>
      <c r="AC792" s="1"/>
      <c r="AD792" s="1"/>
      <c r="AE792" s="1"/>
      <c r="AF792" s="1">
        <v>-44.161667</v>
      </c>
      <c r="AG792" s="1">
        <v>-19.960001</v>
      </c>
      <c r="AH792" s="1" t="s">
        <v>3513</v>
      </c>
      <c r="AI792" s="1"/>
      <c r="AJ792" s="1" t="s">
        <v>172</v>
      </c>
      <c r="AK792" s="1"/>
      <c r="AL792" s="1" t="s">
        <v>79</v>
      </c>
      <c r="AM792" s="1" t="s">
        <v>65</v>
      </c>
      <c r="AN792" s="1" t="s">
        <v>3514</v>
      </c>
      <c r="AO792" s="2">
        <v>44055.0</v>
      </c>
      <c r="AP792" s="2">
        <v>44055.6212268519</v>
      </c>
      <c r="AQ792" s="1" t="s">
        <v>80</v>
      </c>
      <c r="AR792" s="1" t="s">
        <v>3369</v>
      </c>
      <c r="AS792" s="1"/>
      <c r="AT792" s="2">
        <v>44269.931099537</v>
      </c>
    </row>
    <row r="793" ht="13.5" customHeight="1">
      <c r="A793" s="1"/>
      <c r="B793" s="1" t="s">
        <v>46</v>
      </c>
      <c r="C793" s="1" t="s">
        <v>47</v>
      </c>
      <c r="D793" s="1"/>
      <c r="E793" s="1" t="s">
        <v>3515</v>
      </c>
      <c r="F793" s="1"/>
      <c r="G793" s="1" t="s">
        <v>49</v>
      </c>
      <c r="H793" s="1" t="s">
        <v>93</v>
      </c>
      <c r="I793" s="1">
        <v>50000.0</v>
      </c>
      <c r="J793" s="1"/>
      <c r="K793" s="1" t="s">
        <v>51</v>
      </c>
      <c r="L793" s="1"/>
      <c r="M793" s="1" t="s">
        <v>3516</v>
      </c>
      <c r="N793" s="1" t="s">
        <v>977</v>
      </c>
      <c r="O793" s="1" t="s">
        <v>978</v>
      </c>
      <c r="P793" s="2">
        <v>43801.6156597222</v>
      </c>
      <c r="Q793" s="1" t="s">
        <v>373</v>
      </c>
      <c r="R793" s="1"/>
      <c r="S793" s="1"/>
      <c r="T793" s="1">
        <v>5213103.0</v>
      </c>
      <c r="U793" s="1" t="s">
        <v>3517</v>
      </c>
      <c r="V793" s="1" t="s">
        <v>375</v>
      </c>
      <c r="W793" s="1" t="s">
        <v>127</v>
      </c>
      <c r="X793" s="1"/>
      <c r="Y793" s="1"/>
      <c r="Z793" s="1" t="s">
        <v>980</v>
      </c>
      <c r="AA793" s="1" t="s">
        <v>3518</v>
      </c>
      <c r="AB793" s="1" t="str">
        <f>"***426601**"</f>
        <v>***426601**</v>
      </c>
      <c r="AC793" s="1"/>
      <c r="AD793" s="1" t="s">
        <v>62</v>
      </c>
      <c r="AE793" s="1"/>
      <c r="AF793" s="1">
        <v>-52.926388</v>
      </c>
      <c r="AG793" s="1">
        <v>-17.582224</v>
      </c>
      <c r="AH793" s="1" t="s">
        <v>3519</v>
      </c>
      <c r="AI793" s="1"/>
      <c r="AJ793" s="1" t="s">
        <v>371</v>
      </c>
      <c r="AK793" s="1"/>
      <c r="AL793" s="1"/>
      <c r="AM793" s="1" t="s">
        <v>65</v>
      </c>
      <c r="AN793" s="1" t="s">
        <v>1551</v>
      </c>
      <c r="AO793" s="1"/>
      <c r="AP793" s="2">
        <v>43801.6437847222</v>
      </c>
      <c r="AQ793" s="1"/>
      <c r="AR793" s="1" t="s">
        <v>984</v>
      </c>
      <c r="AS793" s="1" t="s">
        <v>3520</v>
      </c>
      <c r="AT793" s="2">
        <v>44269.931099537</v>
      </c>
    </row>
    <row r="794" ht="13.5" customHeight="1">
      <c r="A794" s="1">
        <v>2035312.0</v>
      </c>
      <c r="B794" s="1" t="s">
        <v>67</v>
      </c>
      <c r="C794" s="1" t="s">
        <v>68</v>
      </c>
      <c r="D794" s="1" t="s">
        <v>46</v>
      </c>
      <c r="E794" s="1" t="s">
        <v>3521</v>
      </c>
      <c r="F794" s="1"/>
      <c r="G794" s="1" t="s">
        <v>70</v>
      </c>
      <c r="H794" s="1" t="s">
        <v>93</v>
      </c>
      <c r="I794" s="1">
        <v>205000.0</v>
      </c>
      <c r="J794" s="1"/>
      <c r="K794" s="1"/>
      <c r="L794" s="1" t="s">
        <v>196</v>
      </c>
      <c r="M794" s="1" t="s">
        <v>3522</v>
      </c>
      <c r="N794" s="1" t="s">
        <v>142</v>
      </c>
      <c r="O794" s="1" t="s">
        <v>143</v>
      </c>
      <c r="P794" s="2">
        <v>43801.5833333333</v>
      </c>
      <c r="Q794" s="1" t="s">
        <v>373</v>
      </c>
      <c r="R794" s="3">
        <v>43801.0</v>
      </c>
      <c r="S794" s="1"/>
      <c r="T794" s="1">
        <v>1505809.0</v>
      </c>
      <c r="U794" s="1" t="s">
        <v>3084</v>
      </c>
      <c r="V794" s="1" t="s">
        <v>193</v>
      </c>
      <c r="W794" s="1" t="s">
        <v>177</v>
      </c>
      <c r="X794" s="1"/>
      <c r="Y794" s="1" t="str">
        <f>"02018001530202063"</f>
        <v>02018001530202063</v>
      </c>
      <c r="Z794" s="1" t="s">
        <v>147</v>
      </c>
      <c r="AA794" s="1" t="s">
        <v>3466</v>
      </c>
      <c r="AB794" s="1" t="str">
        <f>"***808802**"</f>
        <v>***808802**</v>
      </c>
      <c r="AC794" s="1"/>
      <c r="AD794" s="1"/>
      <c r="AE794" s="1"/>
      <c r="AF794" s="1">
        <v>-50.660278</v>
      </c>
      <c r="AG794" s="1">
        <v>-3.312778</v>
      </c>
      <c r="AH794" s="1" t="s">
        <v>3523</v>
      </c>
      <c r="AI794" s="1"/>
      <c r="AJ794" s="1" t="s">
        <v>196</v>
      </c>
      <c r="AK794" s="1"/>
      <c r="AL794" s="1" t="s">
        <v>79</v>
      </c>
      <c r="AM794" s="1" t="s">
        <v>65</v>
      </c>
      <c r="AN794" s="1" t="s">
        <v>3087</v>
      </c>
      <c r="AO794" s="2">
        <v>43900.0</v>
      </c>
      <c r="AP794" s="2">
        <v>43900.6930324074</v>
      </c>
      <c r="AQ794" s="1" t="s">
        <v>80</v>
      </c>
      <c r="AR794" s="1" t="s">
        <v>421</v>
      </c>
      <c r="AS794" s="1"/>
      <c r="AT794" s="2">
        <v>44269.931099537</v>
      </c>
    </row>
    <row r="795" ht="13.5" customHeight="1">
      <c r="A795" s="1">
        <v>2037774.0</v>
      </c>
      <c r="B795" s="1" t="s">
        <v>67</v>
      </c>
      <c r="C795" s="1" t="s">
        <v>68</v>
      </c>
      <c r="D795" s="1" t="s">
        <v>46</v>
      </c>
      <c r="E795" s="1" t="s">
        <v>3524</v>
      </c>
      <c r="F795" s="1"/>
      <c r="G795" s="1" t="s">
        <v>70</v>
      </c>
      <c r="H795" s="1" t="s">
        <v>50</v>
      </c>
      <c r="I795" s="1">
        <v>7000.0</v>
      </c>
      <c r="J795" s="1"/>
      <c r="K795" s="1"/>
      <c r="L795" s="1" t="s">
        <v>172</v>
      </c>
      <c r="M795" s="1" t="s">
        <v>976</v>
      </c>
      <c r="N795" s="1" t="s">
        <v>283</v>
      </c>
      <c r="O795" s="1" t="s">
        <v>978</v>
      </c>
      <c r="P795" s="2">
        <v>43801.5833333333</v>
      </c>
      <c r="Q795" s="1" t="s">
        <v>74</v>
      </c>
      <c r="R795" s="1"/>
      <c r="S795" s="1"/>
      <c r="T795" s="1">
        <v>3534401.0</v>
      </c>
      <c r="U795" s="1" t="s">
        <v>1459</v>
      </c>
      <c r="V795" s="1" t="s">
        <v>58</v>
      </c>
      <c r="W795" s="1" t="s">
        <v>59</v>
      </c>
      <c r="X795" s="1"/>
      <c r="Y795" s="1" t="str">
        <f>"02001034580201972"</f>
        <v>02001034580201972</v>
      </c>
      <c r="Z795" s="1" t="s">
        <v>980</v>
      </c>
      <c r="AA795" s="1" t="s">
        <v>2858</v>
      </c>
      <c r="AB795" s="1" t="str">
        <f>"22428662000108"</f>
        <v>22428662000108</v>
      </c>
      <c r="AC795" s="1"/>
      <c r="AD795" s="1"/>
      <c r="AE795" s="1"/>
      <c r="AF795" s="1">
        <v>-46.842777</v>
      </c>
      <c r="AG795" s="1">
        <v>-23.613888</v>
      </c>
      <c r="AH795" s="1" t="s">
        <v>982</v>
      </c>
      <c r="AI795" s="1"/>
      <c r="AJ795" s="1" t="s">
        <v>172</v>
      </c>
      <c r="AK795" s="1"/>
      <c r="AL795" s="1" t="s">
        <v>79</v>
      </c>
      <c r="AM795" s="1" t="s">
        <v>65</v>
      </c>
      <c r="AN795" s="1" t="s">
        <v>983</v>
      </c>
      <c r="AO795" s="2">
        <v>44008.0</v>
      </c>
      <c r="AP795" s="2">
        <v>44008.6106944445</v>
      </c>
      <c r="AQ795" s="1" t="s">
        <v>80</v>
      </c>
      <c r="AR795" s="1" t="s">
        <v>1050</v>
      </c>
      <c r="AS795" s="1" t="s">
        <v>2383</v>
      </c>
      <c r="AT795" s="2">
        <v>44269.931099537</v>
      </c>
    </row>
    <row r="796" ht="13.5" customHeight="1">
      <c r="A796" s="1">
        <v>2039142.0</v>
      </c>
      <c r="B796" s="1" t="s">
        <v>67</v>
      </c>
      <c r="C796" s="1" t="s">
        <v>68</v>
      </c>
      <c r="D796" s="1" t="s">
        <v>46</v>
      </c>
      <c r="E796" s="1" t="s">
        <v>3525</v>
      </c>
      <c r="F796" s="1"/>
      <c r="G796" s="1" t="s">
        <v>70</v>
      </c>
      <c r="H796" s="1" t="s">
        <v>93</v>
      </c>
      <c r="I796" s="1">
        <v>1000.0</v>
      </c>
      <c r="J796" s="1"/>
      <c r="K796" s="1"/>
      <c r="L796" s="1" t="s">
        <v>64</v>
      </c>
      <c r="M796" s="1" t="s">
        <v>3526</v>
      </c>
      <c r="N796" s="1" t="s">
        <v>72</v>
      </c>
      <c r="O796" s="1" t="s">
        <v>73</v>
      </c>
      <c r="P796" s="2">
        <v>43801.5833333333</v>
      </c>
      <c r="Q796" s="1" t="s">
        <v>74</v>
      </c>
      <c r="R796" s="1"/>
      <c r="S796" s="1"/>
      <c r="T796" s="1">
        <v>3509502.0</v>
      </c>
      <c r="U796" s="1" t="s">
        <v>97</v>
      </c>
      <c r="V796" s="1" t="s">
        <v>58</v>
      </c>
      <c r="W796" s="1" t="s">
        <v>59</v>
      </c>
      <c r="X796" s="1"/>
      <c r="Y796" s="1" t="str">
        <f>"02027005773202061"</f>
        <v>02027005773202061</v>
      </c>
      <c r="Z796" s="1" t="s">
        <v>76</v>
      </c>
      <c r="AA796" s="1" t="s">
        <v>3527</v>
      </c>
      <c r="AB796" s="1" t="str">
        <f>"11343847000195"</f>
        <v>11343847000195</v>
      </c>
      <c r="AC796" s="1"/>
      <c r="AD796" s="1"/>
      <c r="AE796" s="1"/>
      <c r="AF796" s="1">
        <v>-47.132774</v>
      </c>
      <c r="AG796" s="1">
        <v>-23.004723</v>
      </c>
      <c r="AH796" s="1" t="s">
        <v>3528</v>
      </c>
      <c r="AI796" s="1"/>
      <c r="AJ796" s="1" t="s">
        <v>64</v>
      </c>
      <c r="AK796" s="1"/>
      <c r="AL796" s="1" t="s">
        <v>79</v>
      </c>
      <c r="AM796" s="1" t="s">
        <v>65</v>
      </c>
      <c r="AN796" s="1"/>
      <c r="AO796" s="2">
        <v>44055.0</v>
      </c>
      <c r="AP796" s="2">
        <v>44055.5192476852</v>
      </c>
      <c r="AQ796" s="1" t="s">
        <v>80</v>
      </c>
      <c r="AR796" s="1" t="s">
        <v>1136</v>
      </c>
      <c r="AS796" s="1"/>
      <c r="AT796" s="2">
        <v>44269.931099537</v>
      </c>
    </row>
    <row r="797" ht="13.5" customHeight="1">
      <c r="A797" s="1"/>
      <c r="B797" s="1" t="s">
        <v>46</v>
      </c>
      <c r="C797" s="1" t="s">
        <v>47</v>
      </c>
      <c r="D797" s="1"/>
      <c r="E797" s="1" t="s">
        <v>3529</v>
      </c>
      <c r="F797" s="1"/>
      <c r="G797" s="1" t="s">
        <v>49</v>
      </c>
      <c r="H797" s="1" t="s">
        <v>50</v>
      </c>
      <c r="I797" s="1">
        <v>55000.0</v>
      </c>
      <c r="J797" s="1"/>
      <c r="K797" s="1" t="s">
        <v>51</v>
      </c>
      <c r="L797" s="1"/>
      <c r="M797" s="1" t="s">
        <v>976</v>
      </c>
      <c r="N797" s="1" t="s">
        <v>977</v>
      </c>
      <c r="O797" s="1" t="s">
        <v>978</v>
      </c>
      <c r="P797" s="2">
        <v>43801.5803819444</v>
      </c>
      <c r="Q797" s="1" t="s">
        <v>74</v>
      </c>
      <c r="R797" s="1"/>
      <c r="S797" s="1"/>
      <c r="T797" s="1">
        <v>3515004.0</v>
      </c>
      <c r="U797" s="1" t="s">
        <v>3530</v>
      </c>
      <c r="V797" s="1" t="s">
        <v>58</v>
      </c>
      <c r="W797" s="1" t="s">
        <v>59</v>
      </c>
      <c r="X797" s="1"/>
      <c r="Y797" s="1"/>
      <c r="Z797" s="1" t="s">
        <v>980</v>
      </c>
      <c r="AA797" s="1" t="s">
        <v>3531</v>
      </c>
      <c r="AB797" s="1" t="str">
        <f>"03102205000176"</f>
        <v>03102205000176</v>
      </c>
      <c r="AC797" s="1"/>
      <c r="AD797" s="1" t="s">
        <v>149</v>
      </c>
      <c r="AE797" s="1"/>
      <c r="AF797" s="1">
        <v>-46.838886</v>
      </c>
      <c r="AG797" s="1">
        <v>-23.77389</v>
      </c>
      <c r="AH797" s="1" t="s">
        <v>982</v>
      </c>
      <c r="AI797" s="1"/>
      <c r="AJ797" s="1" t="s">
        <v>172</v>
      </c>
      <c r="AK797" s="1"/>
      <c r="AL797" s="1"/>
      <c r="AM797" s="1" t="s">
        <v>65</v>
      </c>
      <c r="AN797" s="1" t="s">
        <v>983</v>
      </c>
      <c r="AO797" s="1"/>
      <c r="AP797" s="2">
        <v>44008.7437268519</v>
      </c>
      <c r="AQ797" s="1"/>
      <c r="AR797" s="1" t="s">
        <v>984</v>
      </c>
      <c r="AS797" s="1" t="s">
        <v>2383</v>
      </c>
      <c r="AT797" s="2">
        <v>44269.931099537</v>
      </c>
    </row>
    <row r="798" ht="13.5" customHeight="1">
      <c r="A798" s="1"/>
      <c r="B798" s="1" t="s">
        <v>46</v>
      </c>
      <c r="C798" s="1" t="s">
        <v>47</v>
      </c>
      <c r="D798" s="1"/>
      <c r="E798" s="1" t="s">
        <v>3532</v>
      </c>
      <c r="F798" s="1"/>
      <c r="G798" s="1" t="s">
        <v>49</v>
      </c>
      <c r="H798" s="1" t="s">
        <v>93</v>
      </c>
      <c r="I798" s="1">
        <v>545000.0</v>
      </c>
      <c r="J798" s="1"/>
      <c r="K798" s="1"/>
      <c r="L798" s="1"/>
      <c r="M798" s="1" t="s">
        <v>3533</v>
      </c>
      <c r="N798" s="1" t="s">
        <v>142</v>
      </c>
      <c r="O798" s="1" t="s">
        <v>143</v>
      </c>
      <c r="P798" s="2">
        <v>43801.5535416667</v>
      </c>
      <c r="Q798" s="1" t="s">
        <v>55</v>
      </c>
      <c r="R798" s="1"/>
      <c r="S798" s="1"/>
      <c r="T798" s="1">
        <v>1100148.0</v>
      </c>
      <c r="U798" s="1" t="s">
        <v>2457</v>
      </c>
      <c r="V798" s="1" t="s">
        <v>448</v>
      </c>
      <c r="W798" s="1" t="s">
        <v>177</v>
      </c>
      <c r="X798" s="1"/>
      <c r="Y798" s="1"/>
      <c r="Z798" s="1" t="s">
        <v>147</v>
      </c>
      <c r="AA798" s="1" t="s">
        <v>3534</v>
      </c>
      <c r="AB798" s="1" t="str">
        <f>"***366902**"</f>
        <v>***366902**</v>
      </c>
      <c r="AC798" s="1"/>
      <c r="AD798" s="1" t="s">
        <v>2103</v>
      </c>
      <c r="AE798" s="1"/>
      <c r="AF798" s="1">
        <v>-62.202499</v>
      </c>
      <c r="AG798" s="1">
        <v>-11.468055</v>
      </c>
      <c r="AH798" s="1" t="s">
        <v>3535</v>
      </c>
      <c r="AI798" s="1"/>
      <c r="AJ798" s="1" t="s">
        <v>172</v>
      </c>
      <c r="AK798" s="1"/>
      <c r="AL798" s="1"/>
      <c r="AM798" s="1" t="s">
        <v>65</v>
      </c>
      <c r="AN798" s="1" t="s">
        <v>1395</v>
      </c>
      <c r="AO798" s="1"/>
      <c r="AP798" s="2">
        <v>43801.5637615741</v>
      </c>
      <c r="AQ798" s="1"/>
      <c r="AR798" s="1" t="s">
        <v>871</v>
      </c>
      <c r="AS798" s="1"/>
      <c r="AT798" s="2">
        <v>44269.931099537</v>
      </c>
    </row>
    <row r="799" ht="13.5" customHeight="1">
      <c r="A799" s="1">
        <v>2043103.0</v>
      </c>
      <c r="B799" s="1" t="s">
        <v>67</v>
      </c>
      <c r="C799" s="1" t="s">
        <v>68</v>
      </c>
      <c r="D799" s="1" t="s">
        <v>46</v>
      </c>
      <c r="E799" s="1" t="s">
        <v>3536</v>
      </c>
      <c r="F799" s="1"/>
      <c r="G799" s="1" t="s">
        <v>70</v>
      </c>
      <c r="H799" s="1" t="s">
        <v>93</v>
      </c>
      <c r="I799" s="1">
        <v>12260.0</v>
      </c>
      <c r="J799" s="1"/>
      <c r="K799" s="1"/>
      <c r="L799" s="1" t="s">
        <v>371</v>
      </c>
      <c r="M799" s="1" t="s">
        <v>1681</v>
      </c>
      <c r="N799" s="1" t="s">
        <v>283</v>
      </c>
      <c r="O799" s="1" t="s">
        <v>1133</v>
      </c>
      <c r="P799" s="2">
        <v>43801.5416666667</v>
      </c>
      <c r="Q799" s="1" t="s">
        <v>373</v>
      </c>
      <c r="R799" s="3">
        <v>43801.0</v>
      </c>
      <c r="S799" s="1"/>
      <c r="T799" s="1">
        <v>5213103.0</v>
      </c>
      <c r="U799" s="1" t="s">
        <v>3517</v>
      </c>
      <c r="V799" s="1" t="s">
        <v>375</v>
      </c>
      <c r="W799" s="1" t="s">
        <v>127</v>
      </c>
      <c r="X799" s="1"/>
      <c r="Y799" s="1" t="str">
        <f>"02010003969201967"</f>
        <v>02010003969201967</v>
      </c>
      <c r="Z799" s="1" t="s">
        <v>128</v>
      </c>
      <c r="AA799" s="1" t="s">
        <v>3537</v>
      </c>
      <c r="AB799" s="1" t="str">
        <f>"***426601**"</f>
        <v>***426601**</v>
      </c>
      <c r="AC799" s="1"/>
      <c r="AD799" s="1"/>
      <c r="AE799" s="1"/>
      <c r="AF799" s="1">
        <v>-52.926388</v>
      </c>
      <c r="AG799" s="1">
        <v>-17.582224</v>
      </c>
      <c r="AH799" s="1" t="s">
        <v>3538</v>
      </c>
      <c r="AI799" s="1"/>
      <c r="AJ799" s="1" t="s">
        <v>371</v>
      </c>
      <c r="AK799" s="1"/>
      <c r="AL799" s="1" t="s">
        <v>79</v>
      </c>
      <c r="AM799" s="1" t="s">
        <v>65</v>
      </c>
      <c r="AN799" s="1" t="s">
        <v>1551</v>
      </c>
      <c r="AO799" s="2">
        <v>44228.0</v>
      </c>
      <c r="AP799" s="2">
        <v>44228.4808333333</v>
      </c>
      <c r="AQ799" s="1" t="s">
        <v>80</v>
      </c>
      <c r="AR799" s="1" t="s">
        <v>1576</v>
      </c>
      <c r="AS799" s="1" t="s">
        <v>3539</v>
      </c>
      <c r="AT799" s="2">
        <v>44269.931099537</v>
      </c>
    </row>
    <row r="800" ht="13.5" customHeight="1">
      <c r="A800" s="1"/>
      <c r="B800" s="1" t="s">
        <v>46</v>
      </c>
      <c r="C800" s="1" t="s">
        <v>47</v>
      </c>
      <c r="D800" s="1"/>
      <c r="E800" s="1" t="s">
        <v>3540</v>
      </c>
      <c r="F800" s="1"/>
      <c r="G800" s="1" t="s">
        <v>49</v>
      </c>
      <c r="H800" s="1" t="s">
        <v>93</v>
      </c>
      <c r="I800" s="1">
        <v>12500.0</v>
      </c>
      <c r="J800" s="1"/>
      <c r="K800" s="1" t="s">
        <v>51</v>
      </c>
      <c r="L800" s="1"/>
      <c r="M800" s="1" t="s">
        <v>3541</v>
      </c>
      <c r="N800" s="1" t="s">
        <v>977</v>
      </c>
      <c r="O800" s="1" t="s">
        <v>978</v>
      </c>
      <c r="P800" s="2">
        <v>43801.5365509259</v>
      </c>
      <c r="Q800" s="1" t="s">
        <v>74</v>
      </c>
      <c r="R800" s="3">
        <v>43805.0</v>
      </c>
      <c r="S800" s="1"/>
      <c r="T800" s="1">
        <v>3509502.0</v>
      </c>
      <c r="U800" s="1" t="s">
        <v>97</v>
      </c>
      <c r="V800" s="1" t="s">
        <v>58</v>
      </c>
      <c r="W800" s="1" t="s">
        <v>59</v>
      </c>
      <c r="X800" s="1"/>
      <c r="Y800" s="1"/>
      <c r="Z800" s="1" t="s">
        <v>980</v>
      </c>
      <c r="AA800" s="1" t="s">
        <v>3542</v>
      </c>
      <c r="AB800" s="1" t="str">
        <f>"42087254002000"</f>
        <v>42087254002000</v>
      </c>
      <c r="AC800" s="1"/>
      <c r="AD800" s="1" t="s">
        <v>149</v>
      </c>
      <c r="AE800" s="1"/>
      <c r="AF800" s="1">
        <v>-47.144169</v>
      </c>
      <c r="AG800" s="1">
        <v>-23.007778</v>
      </c>
      <c r="AH800" s="1" t="s">
        <v>3543</v>
      </c>
      <c r="AI800" s="1"/>
      <c r="AJ800" s="1" t="s">
        <v>101</v>
      </c>
      <c r="AK800" s="1"/>
      <c r="AL800" s="1"/>
      <c r="AM800" s="1" t="s">
        <v>65</v>
      </c>
      <c r="AN800" s="1" t="s">
        <v>102</v>
      </c>
      <c r="AO800" s="1"/>
      <c r="AP800" s="2">
        <v>43801.541712963</v>
      </c>
      <c r="AQ800" s="1"/>
      <c r="AR800" s="1" t="s">
        <v>3544</v>
      </c>
      <c r="AS800" s="1"/>
      <c r="AT800" s="2">
        <v>44269.931099537</v>
      </c>
    </row>
    <row r="801" ht="13.5" customHeight="1">
      <c r="A801" s="1"/>
      <c r="B801" s="1" t="s">
        <v>46</v>
      </c>
      <c r="C801" s="1" t="s">
        <v>47</v>
      </c>
      <c r="D801" s="1"/>
      <c r="E801" s="1" t="s">
        <v>3545</v>
      </c>
      <c r="F801" s="1"/>
      <c r="G801" s="1" t="s">
        <v>49</v>
      </c>
      <c r="H801" s="1" t="s">
        <v>93</v>
      </c>
      <c r="I801" s="1">
        <v>85000.0</v>
      </c>
      <c r="J801" s="1"/>
      <c r="K801" s="1"/>
      <c r="L801" s="1"/>
      <c r="M801" s="1" t="s">
        <v>3546</v>
      </c>
      <c r="N801" s="1" t="s">
        <v>142</v>
      </c>
      <c r="O801" s="1" t="s">
        <v>143</v>
      </c>
      <c r="P801" s="2">
        <v>43801.5308449074</v>
      </c>
      <c r="Q801" s="1" t="s">
        <v>373</v>
      </c>
      <c r="R801" s="1"/>
      <c r="S801" s="1"/>
      <c r="T801" s="1">
        <v>1100320.0</v>
      </c>
      <c r="U801" s="1" t="s">
        <v>1851</v>
      </c>
      <c r="V801" s="1" t="s">
        <v>448</v>
      </c>
      <c r="W801" s="1" t="s">
        <v>177</v>
      </c>
      <c r="X801" s="1"/>
      <c r="Y801" s="1"/>
      <c r="Z801" s="1" t="s">
        <v>147</v>
      </c>
      <c r="AA801" s="1" t="s">
        <v>3547</v>
      </c>
      <c r="AB801" s="1" t="str">
        <f>"***902502**"</f>
        <v>***902502**</v>
      </c>
      <c r="AC801" s="1"/>
      <c r="AD801" s="1" t="s">
        <v>2103</v>
      </c>
      <c r="AE801" s="1"/>
      <c r="AF801" s="1">
        <v>-62.540276</v>
      </c>
      <c r="AG801" s="1">
        <v>-11.554723</v>
      </c>
      <c r="AH801" s="1" t="s">
        <v>3548</v>
      </c>
      <c r="AI801" s="1"/>
      <c r="AJ801" s="1" t="s">
        <v>172</v>
      </c>
      <c r="AK801" s="1"/>
      <c r="AL801" s="1"/>
      <c r="AM801" s="1" t="s">
        <v>65</v>
      </c>
      <c r="AN801" s="1" t="s">
        <v>1395</v>
      </c>
      <c r="AO801" s="1"/>
      <c r="AP801" s="2">
        <v>43801.5403819445</v>
      </c>
      <c r="AQ801" s="1"/>
      <c r="AR801" s="1" t="s">
        <v>871</v>
      </c>
      <c r="AS801" s="1"/>
      <c r="AT801" s="2">
        <v>44269.931099537</v>
      </c>
    </row>
    <row r="802" ht="13.5" customHeight="1">
      <c r="A802" s="1"/>
      <c r="B802" s="1" t="s">
        <v>46</v>
      </c>
      <c r="C802" s="1" t="s">
        <v>47</v>
      </c>
      <c r="D802" s="1"/>
      <c r="E802" s="1" t="s">
        <v>3549</v>
      </c>
      <c r="F802" s="1"/>
      <c r="G802" s="1" t="s">
        <v>49</v>
      </c>
      <c r="H802" s="1" t="s">
        <v>93</v>
      </c>
      <c r="I802" s="1">
        <v>514444.16</v>
      </c>
      <c r="J802" s="1"/>
      <c r="K802" s="1"/>
      <c r="L802" s="1"/>
      <c r="M802" s="1" t="s">
        <v>3550</v>
      </c>
      <c r="N802" s="1" t="s">
        <v>53</v>
      </c>
      <c r="O802" s="1" t="s">
        <v>54</v>
      </c>
      <c r="P802" s="2">
        <v>43801.5274537037</v>
      </c>
      <c r="Q802" s="1" t="s">
        <v>74</v>
      </c>
      <c r="R802" s="1"/>
      <c r="S802" s="1"/>
      <c r="T802" s="1">
        <v>1501402.0</v>
      </c>
      <c r="U802" s="1" t="s">
        <v>192</v>
      </c>
      <c r="V802" s="1" t="s">
        <v>193</v>
      </c>
      <c r="W802" s="1" t="s">
        <v>177</v>
      </c>
      <c r="X802" s="1"/>
      <c r="Y802" s="1"/>
      <c r="Z802" s="1" t="s">
        <v>60</v>
      </c>
      <c r="AA802" s="1" t="s">
        <v>3551</v>
      </c>
      <c r="AB802" s="1" t="str">
        <f>"***122552**"</f>
        <v>***122552**</v>
      </c>
      <c r="AC802" s="1"/>
      <c r="AD802" s="1" t="s">
        <v>62</v>
      </c>
      <c r="AE802" s="1"/>
      <c r="AF802" s="1">
        <v>-48.467499</v>
      </c>
      <c r="AG802" s="1">
        <v>-1.2875</v>
      </c>
      <c r="AH802" s="1" t="s">
        <v>3552</v>
      </c>
      <c r="AI802" s="1"/>
      <c r="AJ802" s="1" t="s">
        <v>196</v>
      </c>
      <c r="AK802" s="1"/>
      <c r="AL802" s="1"/>
      <c r="AM802" s="1" t="s">
        <v>65</v>
      </c>
      <c r="AN802" s="1" t="s">
        <v>197</v>
      </c>
      <c r="AO802" s="1"/>
      <c r="AP802" s="2">
        <v>43801.5640393518</v>
      </c>
      <c r="AQ802" s="1"/>
      <c r="AR802" s="1" t="s">
        <v>1096</v>
      </c>
      <c r="AS802" s="1"/>
      <c r="AT802" s="2">
        <v>44269.931099537</v>
      </c>
    </row>
    <row r="803" ht="13.5" customHeight="1">
      <c r="A803" s="1"/>
      <c r="B803" s="1" t="s">
        <v>46</v>
      </c>
      <c r="C803" s="1" t="s">
        <v>47</v>
      </c>
      <c r="D803" s="1"/>
      <c r="E803" s="1" t="s">
        <v>3553</v>
      </c>
      <c r="F803" s="1"/>
      <c r="G803" s="1" t="s">
        <v>49</v>
      </c>
      <c r="H803" s="1" t="s">
        <v>93</v>
      </c>
      <c r="I803" s="1">
        <v>205850.0</v>
      </c>
      <c r="J803" s="1"/>
      <c r="K803" s="1"/>
      <c r="L803" s="1"/>
      <c r="M803" s="1" t="s">
        <v>3554</v>
      </c>
      <c r="N803" s="1" t="s">
        <v>142</v>
      </c>
      <c r="O803" s="1" t="s">
        <v>143</v>
      </c>
      <c r="P803" s="2">
        <v>43801.5059953704</v>
      </c>
      <c r="Q803" s="1" t="s">
        <v>373</v>
      </c>
      <c r="R803" s="1"/>
      <c r="S803" s="1"/>
      <c r="T803" s="1">
        <v>5106158.0</v>
      </c>
      <c r="U803" s="1" t="s">
        <v>1700</v>
      </c>
      <c r="V803" s="1" t="s">
        <v>164</v>
      </c>
      <c r="W803" s="1" t="s">
        <v>177</v>
      </c>
      <c r="X803" s="1"/>
      <c r="Y803" s="1"/>
      <c r="Z803" s="1" t="s">
        <v>147</v>
      </c>
      <c r="AA803" s="1" t="s">
        <v>3555</v>
      </c>
      <c r="AB803" s="1" t="str">
        <f>"***768711**"</f>
        <v>***768711**</v>
      </c>
      <c r="AC803" s="1"/>
      <c r="AD803" s="1" t="s">
        <v>116</v>
      </c>
      <c r="AE803" s="1"/>
      <c r="AF803" s="1">
        <v>-58.084724</v>
      </c>
      <c r="AG803" s="1">
        <v>-10.193334</v>
      </c>
      <c r="AH803" s="1" t="s">
        <v>3556</v>
      </c>
      <c r="AI803" s="1"/>
      <c r="AJ803" s="1" t="s">
        <v>172</v>
      </c>
      <c r="AK803" s="1"/>
      <c r="AL803" s="1"/>
      <c r="AM803" s="1" t="s">
        <v>65</v>
      </c>
      <c r="AN803" s="1" t="s">
        <v>1703</v>
      </c>
      <c r="AO803" s="1"/>
      <c r="AP803" s="2">
        <v>44018.8747685185</v>
      </c>
      <c r="AQ803" s="1"/>
      <c r="AR803" s="1" t="s">
        <v>871</v>
      </c>
      <c r="AS803" s="1"/>
      <c r="AT803" s="2">
        <v>44269.931099537</v>
      </c>
    </row>
    <row r="804" ht="13.5" customHeight="1">
      <c r="A804" s="1"/>
      <c r="B804" s="1" t="s">
        <v>46</v>
      </c>
      <c r="C804" s="1" t="s">
        <v>657</v>
      </c>
      <c r="D804" s="1"/>
      <c r="E804" s="1" t="s">
        <v>3557</v>
      </c>
      <c r="F804" s="1"/>
      <c r="G804" s="1" t="s">
        <v>49</v>
      </c>
      <c r="H804" s="1" t="s">
        <v>93</v>
      </c>
      <c r="I804" s="1">
        <v>5000.0</v>
      </c>
      <c r="J804" s="1"/>
      <c r="K804" s="1" t="s">
        <v>51</v>
      </c>
      <c r="L804" s="1"/>
      <c r="M804" s="1" t="s">
        <v>3558</v>
      </c>
      <c r="N804" s="1" t="s">
        <v>212</v>
      </c>
      <c r="O804" s="1" t="s">
        <v>213</v>
      </c>
      <c r="P804" s="2">
        <v>43801.4890625</v>
      </c>
      <c r="Q804" s="1" t="s">
        <v>74</v>
      </c>
      <c r="R804" s="1"/>
      <c r="S804" s="1"/>
      <c r="T804" s="1">
        <v>2205201.0</v>
      </c>
      <c r="U804" s="1" t="s">
        <v>3559</v>
      </c>
      <c r="V804" s="1" t="s">
        <v>895</v>
      </c>
      <c r="W804" s="1" t="s">
        <v>127</v>
      </c>
      <c r="X804" s="1"/>
      <c r="Y804" s="1"/>
      <c r="Z804" s="1" t="s">
        <v>215</v>
      </c>
      <c r="AA804" s="1" t="s">
        <v>3560</v>
      </c>
      <c r="AB804" s="1" t="str">
        <f>"28930143000111"</f>
        <v>28930143000111</v>
      </c>
      <c r="AC804" s="1"/>
      <c r="AD804" s="1" t="s">
        <v>62</v>
      </c>
      <c r="AE804" s="1"/>
      <c r="AF804" s="1">
        <v>-41.111664</v>
      </c>
      <c r="AG804" s="1">
        <v>-7.338056</v>
      </c>
      <c r="AH804" s="1" t="s">
        <v>3561</v>
      </c>
      <c r="AI804" s="1"/>
      <c r="AJ804" s="1" t="s">
        <v>898</v>
      </c>
      <c r="AK804" s="1"/>
      <c r="AL804" s="1"/>
      <c r="AM804" s="1" t="s">
        <v>65</v>
      </c>
      <c r="AN804" s="1" t="s">
        <v>152</v>
      </c>
      <c r="AO804" s="1"/>
      <c r="AP804" s="2">
        <v>43802.478900463</v>
      </c>
      <c r="AQ804" s="1"/>
      <c r="AR804" s="1" t="s">
        <v>1631</v>
      </c>
      <c r="AS804" s="1"/>
      <c r="AT804" s="2">
        <v>44269.931099537</v>
      </c>
    </row>
    <row r="805" ht="13.5" customHeight="1">
      <c r="A805" s="1"/>
      <c r="B805" s="1" t="s">
        <v>46</v>
      </c>
      <c r="C805" s="1" t="s">
        <v>47</v>
      </c>
      <c r="D805" s="1"/>
      <c r="E805" s="1" t="s">
        <v>3562</v>
      </c>
      <c r="F805" s="1"/>
      <c r="G805" s="1" t="s">
        <v>49</v>
      </c>
      <c r="H805" s="1" t="s">
        <v>50</v>
      </c>
      <c r="I805" s="1">
        <v>45000.0</v>
      </c>
      <c r="J805" s="1"/>
      <c r="K805" s="1" t="s">
        <v>51</v>
      </c>
      <c r="L805" s="1"/>
      <c r="M805" s="1" t="s">
        <v>976</v>
      </c>
      <c r="N805" s="1" t="s">
        <v>977</v>
      </c>
      <c r="O805" s="1" t="s">
        <v>978</v>
      </c>
      <c r="P805" s="2">
        <v>43801.4853240741</v>
      </c>
      <c r="Q805" s="1" t="s">
        <v>74</v>
      </c>
      <c r="R805" s="1"/>
      <c r="S805" s="1"/>
      <c r="T805" s="1">
        <v>3548708.0</v>
      </c>
      <c r="U805" s="1" t="s">
        <v>993</v>
      </c>
      <c r="V805" s="1" t="s">
        <v>58</v>
      </c>
      <c r="W805" s="1" t="s">
        <v>59</v>
      </c>
      <c r="X805" s="1"/>
      <c r="Y805" s="1"/>
      <c r="Z805" s="1" t="s">
        <v>980</v>
      </c>
      <c r="AA805" s="1" t="s">
        <v>3563</v>
      </c>
      <c r="AB805" s="1" t="str">
        <f>"08778560000183"</f>
        <v>08778560000183</v>
      </c>
      <c r="AC805" s="1"/>
      <c r="AD805" s="1" t="s">
        <v>149</v>
      </c>
      <c r="AE805" s="1"/>
      <c r="AF805" s="1">
        <v>-46.636665</v>
      </c>
      <c r="AG805" s="1">
        <v>-23.7425</v>
      </c>
      <c r="AH805" s="1" t="s">
        <v>982</v>
      </c>
      <c r="AI805" s="1"/>
      <c r="AJ805" s="1" t="s">
        <v>172</v>
      </c>
      <c r="AK805" s="1"/>
      <c r="AL805" s="1"/>
      <c r="AM805" s="1" t="s">
        <v>65</v>
      </c>
      <c r="AN805" s="1" t="s">
        <v>983</v>
      </c>
      <c r="AO805" s="1"/>
      <c r="AP805" s="2">
        <v>44008.7379050926</v>
      </c>
      <c r="AQ805" s="1"/>
      <c r="AR805" s="1" t="s">
        <v>984</v>
      </c>
      <c r="AS805" s="1" t="s">
        <v>2383</v>
      </c>
      <c r="AT805" s="2">
        <v>44269.931099537</v>
      </c>
    </row>
    <row r="806" ht="13.5" customHeight="1">
      <c r="A806" s="1"/>
      <c r="B806" s="1" t="s">
        <v>46</v>
      </c>
      <c r="C806" s="1" t="s">
        <v>47</v>
      </c>
      <c r="D806" s="1"/>
      <c r="E806" s="1" t="s">
        <v>3564</v>
      </c>
      <c r="F806" s="1"/>
      <c r="G806" s="1" t="s">
        <v>49</v>
      </c>
      <c r="H806" s="1" t="s">
        <v>50</v>
      </c>
      <c r="I806" s="1">
        <v>85000.0</v>
      </c>
      <c r="J806" s="1"/>
      <c r="K806" s="1" t="s">
        <v>51</v>
      </c>
      <c r="L806" s="1"/>
      <c r="M806" s="1" t="s">
        <v>976</v>
      </c>
      <c r="N806" s="1" t="s">
        <v>977</v>
      </c>
      <c r="O806" s="1" t="s">
        <v>978</v>
      </c>
      <c r="P806" s="2">
        <v>43801.4745486111</v>
      </c>
      <c r="Q806" s="1" t="s">
        <v>74</v>
      </c>
      <c r="R806" s="1"/>
      <c r="S806" s="1"/>
      <c r="T806" s="1">
        <v>3548708.0</v>
      </c>
      <c r="U806" s="1" t="s">
        <v>993</v>
      </c>
      <c r="V806" s="1" t="s">
        <v>58</v>
      </c>
      <c r="W806" s="1" t="s">
        <v>59</v>
      </c>
      <c r="X806" s="1"/>
      <c r="Y806" s="1"/>
      <c r="Z806" s="1" t="s">
        <v>980</v>
      </c>
      <c r="AA806" s="1" t="s">
        <v>2952</v>
      </c>
      <c r="AB806" s="1" t="str">
        <f>"05777410000167"</f>
        <v>05777410000167</v>
      </c>
      <c r="AC806" s="1"/>
      <c r="AD806" s="1" t="s">
        <v>149</v>
      </c>
      <c r="AE806" s="1"/>
      <c r="AF806" s="1">
        <v>-46.636665</v>
      </c>
      <c r="AG806" s="1">
        <v>-23.7425</v>
      </c>
      <c r="AH806" s="1" t="s">
        <v>982</v>
      </c>
      <c r="AI806" s="1"/>
      <c r="AJ806" s="1" t="s">
        <v>172</v>
      </c>
      <c r="AK806" s="1"/>
      <c r="AL806" s="1"/>
      <c r="AM806" s="1" t="s">
        <v>65</v>
      </c>
      <c r="AN806" s="1" t="s">
        <v>983</v>
      </c>
      <c r="AO806" s="1"/>
      <c r="AP806" s="2">
        <v>44008.7438773148</v>
      </c>
      <c r="AQ806" s="1"/>
      <c r="AR806" s="1" t="s">
        <v>984</v>
      </c>
      <c r="AS806" s="1" t="s">
        <v>2383</v>
      </c>
      <c r="AT806" s="2">
        <v>44269.931099537</v>
      </c>
    </row>
    <row r="807" ht="13.5" customHeight="1">
      <c r="A807" s="1"/>
      <c r="B807" s="1" t="s">
        <v>46</v>
      </c>
      <c r="C807" s="1" t="s">
        <v>47</v>
      </c>
      <c r="D807" s="1"/>
      <c r="E807" s="1" t="s">
        <v>3565</v>
      </c>
      <c r="F807" s="1"/>
      <c r="G807" s="1" t="s">
        <v>49</v>
      </c>
      <c r="H807" s="1" t="s">
        <v>93</v>
      </c>
      <c r="I807" s="1">
        <v>6500.0</v>
      </c>
      <c r="J807" s="1"/>
      <c r="K807" s="1" t="s">
        <v>140</v>
      </c>
      <c r="L807" s="1"/>
      <c r="M807" s="1" t="s">
        <v>3566</v>
      </c>
      <c r="N807" s="1" t="s">
        <v>977</v>
      </c>
      <c r="O807" s="1" t="s">
        <v>978</v>
      </c>
      <c r="P807" s="2">
        <v>43801.4603472222</v>
      </c>
      <c r="Q807" s="1" t="s">
        <v>373</v>
      </c>
      <c r="R807" s="1"/>
      <c r="S807" s="1"/>
      <c r="T807" s="1">
        <v>5213103.0</v>
      </c>
      <c r="U807" s="1" t="s">
        <v>3517</v>
      </c>
      <c r="V807" s="1" t="s">
        <v>375</v>
      </c>
      <c r="W807" s="1" t="s">
        <v>127</v>
      </c>
      <c r="X807" s="1"/>
      <c r="Y807" s="1"/>
      <c r="Z807" s="1" t="s">
        <v>980</v>
      </c>
      <c r="AA807" s="1" t="s">
        <v>3567</v>
      </c>
      <c r="AB807" s="1" t="str">
        <f>"***292001**"</f>
        <v>***292001**</v>
      </c>
      <c r="AC807" s="1"/>
      <c r="AD807" s="1" t="s">
        <v>62</v>
      </c>
      <c r="AE807" s="1"/>
      <c r="AF807" s="1">
        <v>-52.956112</v>
      </c>
      <c r="AG807" s="1">
        <v>-17.497499</v>
      </c>
      <c r="AH807" s="1" t="s">
        <v>3568</v>
      </c>
      <c r="AI807" s="1"/>
      <c r="AJ807" s="1" t="s">
        <v>371</v>
      </c>
      <c r="AK807" s="1"/>
      <c r="AL807" s="1"/>
      <c r="AM807" s="1" t="s">
        <v>65</v>
      </c>
      <c r="AN807" s="1" t="s">
        <v>1551</v>
      </c>
      <c r="AO807" s="1"/>
      <c r="AP807" s="2">
        <v>43801.4953703704</v>
      </c>
      <c r="AQ807" s="1"/>
      <c r="AR807" s="1" t="s">
        <v>1756</v>
      </c>
      <c r="AS807" s="1" t="s">
        <v>3569</v>
      </c>
      <c r="AT807" s="2">
        <v>44269.931099537</v>
      </c>
    </row>
    <row r="808" ht="13.5" customHeight="1">
      <c r="A808" s="1">
        <v>2035060.0</v>
      </c>
      <c r="B808" s="1" t="s">
        <v>67</v>
      </c>
      <c r="C808" s="1" t="s">
        <v>68</v>
      </c>
      <c r="D808" s="1" t="s">
        <v>46</v>
      </c>
      <c r="E808" s="1" t="s">
        <v>3570</v>
      </c>
      <c r="F808" s="1"/>
      <c r="G808" s="1" t="s">
        <v>70</v>
      </c>
      <c r="H808" s="1" t="s">
        <v>93</v>
      </c>
      <c r="I808" s="1">
        <v>1830000.0</v>
      </c>
      <c r="J808" s="1"/>
      <c r="K808" s="1"/>
      <c r="L808" s="1" t="s">
        <v>65</v>
      </c>
      <c r="M808" s="1" t="s">
        <v>3571</v>
      </c>
      <c r="N808" s="1" t="s">
        <v>142</v>
      </c>
      <c r="O808" s="1" t="s">
        <v>143</v>
      </c>
      <c r="P808" s="2">
        <v>43801.4583333333</v>
      </c>
      <c r="Q808" s="1" t="s">
        <v>373</v>
      </c>
      <c r="R808" s="3">
        <v>43801.0</v>
      </c>
      <c r="S808" s="1" t="s">
        <v>110</v>
      </c>
      <c r="T808" s="1">
        <v>1300706.0</v>
      </c>
      <c r="U808" s="1" t="s">
        <v>2161</v>
      </c>
      <c r="V808" s="1" t="s">
        <v>486</v>
      </c>
      <c r="W808" s="1" t="s">
        <v>177</v>
      </c>
      <c r="X808" s="1"/>
      <c r="Y808" s="1" t="str">
        <f>"02001034403201996"</f>
        <v>02001034403201996</v>
      </c>
      <c r="Z808" s="1" t="s">
        <v>147</v>
      </c>
      <c r="AA808" s="1" t="s">
        <v>3572</v>
      </c>
      <c r="AB808" s="1" t="str">
        <f>"***838552**"</f>
        <v>***838552**</v>
      </c>
      <c r="AC808" s="1"/>
      <c r="AD808" s="1" t="s">
        <v>116</v>
      </c>
      <c r="AE808" s="1"/>
      <c r="AF808" s="1">
        <v>-67.262222</v>
      </c>
      <c r="AG808" s="1">
        <v>-8.666667</v>
      </c>
      <c r="AH808" s="1" t="s">
        <v>3573</v>
      </c>
      <c r="AI808" s="1"/>
      <c r="AJ808" s="1" t="s">
        <v>172</v>
      </c>
      <c r="AK808" s="1"/>
      <c r="AL808" s="1" t="s">
        <v>118</v>
      </c>
      <c r="AM808" s="1" t="s">
        <v>65</v>
      </c>
      <c r="AN808" s="1" t="s">
        <v>1395</v>
      </c>
      <c r="AO808" s="2">
        <v>43894.0</v>
      </c>
      <c r="AP808" s="2">
        <v>43922.6582523148</v>
      </c>
      <c r="AQ808" s="1" t="s">
        <v>80</v>
      </c>
      <c r="AR808" s="1" t="s">
        <v>3574</v>
      </c>
      <c r="AS808" s="1" t="s">
        <v>3575</v>
      </c>
      <c r="AT808" s="2">
        <v>44269.931099537</v>
      </c>
    </row>
    <row r="809" ht="13.5" customHeight="1">
      <c r="A809" s="1"/>
      <c r="B809" s="1" t="s">
        <v>46</v>
      </c>
      <c r="C809" s="1" t="s">
        <v>47</v>
      </c>
      <c r="D809" s="1"/>
      <c r="E809" s="1" t="s">
        <v>3576</v>
      </c>
      <c r="F809" s="1"/>
      <c r="G809" s="1" t="s">
        <v>49</v>
      </c>
      <c r="H809" s="1" t="s">
        <v>93</v>
      </c>
      <c r="I809" s="1">
        <v>2500.0</v>
      </c>
      <c r="J809" s="1"/>
      <c r="K809" s="1"/>
      <c r="L809" s="1"/>
      <c r="M809" s="1" t="s">
        <v>3577</v>
      </c>
      <c r="N809" s="1" t="s">
        <v>95</v>
      </c>
      <c r="O809" s="1" t="s">
        <v>96</v>
      </c>
      <c r="P809" s="2">
        <v>43801.4552199074</v>
      </c>
      <c r="Q809" s="1" t="s">
        <v>74</v>
      </c>
      <c r="R809" s="1"/>
      <c r="S809" s="1"/>
      <c r="T809" s="1">
        <v>5300108.0</v>
      </c>
      <c r="U809" s="1" t="s">
        <v>1541</v>
      </c>
      <c r="V809" s="1" t="s">
        <v>1542</v>
      </c>
      <c r="W809" s="1" t="s">
        <v>127</v>
      </c>
      <c r="X809" s="1"/>
      <c r="Y809" s="1"/>
      <c r="Z809" s="1" t="s">
        <v>98</v>
      </c>
      <c r="AA809" s="1" t="s">
        <v>3578</v>
      </c>
      <c r="AB809" s="1" t="str">
        <f>"***790321**"</f>
        <v>***790321**</v>
      </c>
      <c r="AC809" s="1"/>
      <c r="AD809" s="1" t="s">
        <v>62</v>
      </c>
      <c r="AE809" s="1"/>
      <c r="AF809" s="1">
        <v>-47.861942</v>
      </c>
      <c r="AG809" s="1">
        <v>-15.767222</v>
      </c>
      <c r="AH809" s="1" t="s">
        <v>3579</v>
      </c>
      <c r="AI809" s="1"/>
      <c r="AJ809" s="1" t="s">
        <v>172</v>
      </c>
      <c r="AK809" s="1"/>
      <c r="AL809" s="1"/>
      <c r="AM809" s="1" t="s">
        <v>65</v>
      </c>
      <c r="AN809" s="1" t="s">
        <v>3580</v>
      </c>
      <c r="AO809" s="1"/>
      <c r="AP809" s="2">
        <v>43801.4724652778</v>
      </c>
      <c r="AQ809" s="1"/>
      <c r="AR809" s="1" t="s">
        <v>3581</v>
      </c>
      <c r="AS809" s="1"/>
      <c r="AT809" s="2">
        <v>44269.931099537</v>
      </c>
    </row>
    <row r="810" ht="13.5" customHeight="1">
      <c r="A810" s="1"/>
      <c r="B810" s="1" t="s">
        <v>46</v>
      </c>
      <c r="C810" s="1" t="s">
        <v>47</v>
      </c>
      <c r="D810" s="1"/>
      <c r="E810" s="1" t="s">
        <v>3582</v>
      </c>
      <c r="F810" s="1"/>
      <c r="G810" s="1" t="s">
        <v>49</v>
      </c>
      <c r="H810" s="1" t="s">
        <v>93</v>
      </c>
      <c r="I810" s="1">
        <v>2000.0</v>
      </c>
      <c r="J810" s="1"/>
      <c r="K810" s="1"/>
      <c r="L810" s="1"/>
      <c r="M810" s="1" t="s">
        <v>3583</v>
      </c>
      <c r="N810" s="1" t="s">
        <v>95</v>
      </c>
      <c r="O810" s="1" t="s">
        <v>96</v>
      </c>
      <c r="P810" s="2">
        <v>43801.4277777778</v>
      </c>
      <c r="Q810" s="1" t="s">
        <v>74</v>
      </c>
      <c r="R810" s="1"/>
      <c r="S810" s="1"/>
      <c r="T810" s="1">
        <v>5300108.0</v>
      </c>
      <c r="U810" s="1" t="s">
        <v>1541</v>
      </c>
      <c r="V810" s="1" t="s">
        <v>1542</v>
      </c>
      <c r="W810" s="1" t="s">
        <v>127</v>
      </c>
      <c r="X810" s="1"/>
      <c r="Y810" s="1"/>
      <c r="Z810" s="1" t="s">
        <v>98</v>
      </c>
      <c r="AA810" s="1" t="s">
        <v>3584</v>
      </c>
      <c r="AB810" s="1" t="str">
        <f>"***522481**"</f>
        <v>***522481**</v>
      </c>
      <c r="AC810" s="1"/>
      <c r="AD810" s="1" t="s">
        <v>62</v>
      </c>
      <c r="AE810" s="1"/>
      <c r="AF810" s="1">
        <v>-47.861942</v>
      </c>
      <c r="AG810" s="1">
        <v>-15.767222</v>
      </c>
      <c r="AH810" s="1" t="s">
        <v>3585</v>
      </c>
      <c r="AI810" s="1"/>
      <c r="AJ810" s="1" t="s">
        <v>172</v>
      </c>
      <c r="AK810" s="1"/>
      <c r="AL810" s="1"/>
      <c r="AM810" s="1" t="s">
        <v>65</v>
      </c>
      <c r="AN810" s="1" t="s">
        <v>3580</v>
      </c>
      <c r="AO810" s="1"/>
      <c r="AP810" s="2">
        <v>43801.4474421296</v>
      </c>
      <c r="AQ810" s="1"/>
      <c r="AR810" s="1" t="s">
        <v>3581</v>
      </c>
      <c r="AS810" s="1"/>
      <c r="AT810" s="2">
        <v>44269.931099537</v>
      </c>
    </row>
    <row r="811" ht="13.5" customHeight="1">
      <c r="A811" s="1"/>
      <c r="B811" s="1" t="s">
        <v>46</v>
      </c>
      <c r="C811" s="1" t="s">
        <v>47</v>
      </c>
      <c r="D811" s="1"/>
      <c r="E811" s="1" t="s">
        <v>3586</v>
      </c>
      <c r="F811" s="1"/>
      <c r="G811" s="1" t="s">
        <v>49</v>
      </c>
      <c r="H811" s="1" t="s">
        <v>50</v>
      </c>
      <c r="I811" s="1">
        <v>45000.0</v>
      </c>
      <c r="J811" s="1"/>
      <c r="K811" s="1" t="s">
        <v>51</v>
      </c>
      <c r="L811" s="1"/>
      <c r="M811" s="1"/>
      <c r="N811" s="1" t="s">
        <v>977</v>
      </c>
      <c r="O811" s="1" t="s">
        <v>978</v>
      </c>
      <c r="P811" s="2">
        <v>43801.4258449074</v>
      </c>
      <c r="Q811" s="1" t="s">
        <v>74</v>
      </c>
      <c r="R811" s="1"/>
      <c r="S811" s="1"/>
      <c r="T811" s="1">
        <v>3548708.0</v>
      </c>
      <c r="U811" s="1" t="s">
        <v>993</v>
      </c>
      <c r="V811" s="1" t="s">
        <v>58</v>
      </c>
      <c r="W811" s="1" t="s">
        <v>59</v>
      </c>
      <c r="X811" s="1"/>
      <c r="Y811" s="1"/>
      <c r="Z811" s="1" t="s">
        <v>980</v>
      </c>
      <c r="AA811" s="1" t="s">
        <v>3563</v>
      </c>
      <c r="AB811" s="1" t="str">
        <f>"08778560000183"</f>
        <v>08778560000183</v>
      </c>
      <c r="AC811" s="1"/>
      <c r="AD811" s="1" t="s">
        <v>149</v>
      </c>
      <c r="AE811" s="1"/>
      <c r="AF811" s="1">
        <v>-46.636665</v>
      </c>
      <c r="AG811" s="1">
        <v>-23.7425</v>
      </c>
      <c r="AH811" s="1" t="s">
        <v>982</v>
      </c>
      <c r="AI811" s="1"/>
      <c r="AJ811" s="1" t="s">
        <v>172</v>
      </c>
      <c r="AK811" s="1"/>
      <c r="AL811" s="1"/>
      <c r="AM811" s="1" t="s">
        <v>65</v>
      </c>
      <c r="AN811" s="1" t="s">
        <v>983</v>
      </c>
      <c r="AO811" s="1"/>
      <c r="AP811" s="2">
        <v>44008.7439930556</v>
      </c>
      <c r="AQ811" s="1"/>
      <c r="AR811" s="1" t="s">
        <v>984</v>
      </c>
      <c r="AS811" s="1" t="s">
        <v>2383</v>
      </c>
      <c r="AT811" s="2">
        <v>44269.931099537</v>
      </c>
    </row>
    <row r="812" ht="13.5" customHeight="1">
      <c r="A812" s="1"/>
      <c r="B812" s="1" t="s">
        <v>46</v>
      </c>
      <c r="C812" s="1" t="s">
        <v>47</v>
      </c>
      <c r="D812" s="1"/>
      <c r="E812" s="1" t="s">
        <v>3587</v>
      </c>
      <c r="F812" s="1"/>
      <c r="G812" s="1" t="s">
        <v>49</v>
      </c>
      <c r="H812" s="1" t="s">
        <v>93</v>
      </c>
      <c r="I812" s="1">
        <v>4500.0</v>
      </c>
      <c r="J812" s="1"/>
      <c r="K812" s="1"/>
      <c r="L812" s="1"/>
      <c r="M812" s="1" t="s">
        <v>3588</v>
      </c>
      <c r="N812" s="1" t="s">
        <v>95</v>
      </c>
      <c r="O812" s="1" t="s">
        <v>96</v>
      </c>
      <c r="P812" s="2">
        <v>43801.393125</v>
      </c>
      <c r="Q812" s="1" t="s">
        <v>74</v>
      </c>
      <c r="R812" s="1"/>
      <c r="S812" s="1"/>
      <c r="T812" s="1">
        <v>5300108.0</v>
      </c>
      <c r="U812" s="1" t="s">
        <v>1541</v>
      </c>
      <c r="V812" s="1" t="s">
        <v>1542</v>
      </c>
      <c r="W812" s="1" t="s">
        <v>127</v>
      </c>
      <c r="X812" s="1"/>
      <c r="Y812" s="1"/>
      <c r="Z812" s="1" t="s">
        <v>98</v>
      </c>
      <c r="AA812" s="1" t="s">
        <v>3589</v>
      </c>
      <c r="AB812" s="1" t="str">
        <f>"***332941**"</f>
        <v>***332941**</v>
      </c>
      <c r="AC812" s="1"/>
      <c r="AD812" s="1" t="s">
        <v>62</v>
      </c>
      <c r="AE812" s="1"/>
      <c r="AF812" s="1">
        <v>-47.861942</v>
      </c>
      <c r="AG812" s="1">
        <v>-15.767222</v>
      </c>
      <c r="AH812" s="1" t="s">
        <v>3590</v>
      </c>
      <c r="AI812" s="1"/>
      <c r="AJ812" s="1" t="s">
        <v>172</v>
      </c>
      <c r="AK812" s="1"/>
      <c r="AL812" s="1"/>
      <c r="AM812" s="1" t="s">
        <v>65</v>
      </c>
      <c r="AN812" s="1" t="s">
        <v>3580</v>
      </c>
      <c r="AO812" s="1"/>
      <c r="AP812" s="2">
        <v>43801.4236342593</v>
      </c>
      <c r="AQ812" s="1"/>
      <c r="AR812" s="1" t="s">
        <v>3591</v>
      </c>
      <c r="AS812" s="1"/>
      <c r="AT812" s="2">
        <v>44269.931099537</v>
      </c>
    </row>
    <row r="813" ht="13.5" customHeight="1">
      <c r="A813" s="1"/>
      <c r="B813" s="1" t="s">
        <v>46</v>
      </c>
      <c r="C813" s="1" t="s">
        <v>47</v>
      </c>
      <c r="D813" s="1"/>
      <c r="E813" s="1" t="s">
        <v>3592</v>
      </c>
      <c r="F813" s="1"/>
      <c r="G813" s="1" t="s">
        <v>49</v>
      </c>
      <c r="H813" s="1" t="s">
        <v>93</v>
      </c>
      <c r="I813" s="1">
        <v>3700.0</v>
      </c>
      <c r="J813" s="1"/>
      <c r="K813" s="1" t="s">
        <v>51</v>
      </c>
      <c r="L813" s="1"/>
      <c r="M813" s="1" t="s">
        <v>3593</v>
      </c>
      <c r="N813" s="1" t="s">
        <v>53</v>
      </c>
      <c r="O813" s="1" t="s">
        <v>54</v>
      </c>
      <c r="P813" s="2">
        <v>43801.3882060185</v>
      </c>
      <c r="Q813" s="1" t="s">
        <v>373</v>
      </c>
      <c r="R813" s="1"/>
      <c r="S813" s="1"/>
      <c r="T813" s="1">
        <v>1600402.0</v>
      </c>
      <c r="U813" s="1" t="s">
        <v>880</v>
      </c>
      <c r="V813" s="1" t="s">
        <v>797</v>
      </c>
      <c r="W813" s="1" t="s">
        <v>288</v>
      </c>
      <c r="X813" s="1"/>
      <c r="Y813" s="1"/>
      <c r="Z813" s="1" t="s">
        <v>60</v>
      </c>
      <c r="AA813" s="1" t="s">
        <v>3594</v>
      </c>
      <c r="AB813" s="1" t="str">
        <f>"***829252**"</f>
        <v>***829252**</v>
      </c>
      <c r="AC813" s="1"/>
      <c r="AD813" s="1" t="s">
        <v>62</v>
      </c>
      <c r="AE813" s="1"/>
      <c r="AF813" s="1">
        <v>-51.283611</v>
      </c>
      <c r="AG813" s="1">
        <v>-0.1175</v>
      </c>
      <c r="AH813" s="1" t="s">
        <v>3595</v>
      </c>
      <c r="AI813" s="1"/>
      <c r="AJ813" s="1" t="s">
        <v>800</v>
      </c>
      <c r="AK813" s="1"/>
      <c r="AL813" s="1"/>
      <c r="AM813" s="1" t="s">
        <v>65</v>
      </c>
      <c r="AN813" s="1" t="s">
        <v>152</v>
      </c>
      <c r="AO813" s="1"/>
      <c r="AP813" s="2">
        <v>43801.4065740741</v>
      </c>
      <c r="AQ813" s="1"/>
      <c r="AR813" s="1" t="s">
        <v>1096</v>
      </c>
      <c r="AS813" s="1"/>
      <c r="AT813" s="2">
        <v>44269.931099537</v>
      </c>
    </row>
    <row r="814" ht="13.5" customHeight="1">
      <c r="A814" s="1">
        <v>2039249.0</v>
      </c>
      <c r="B814" s="1" t="s">
        <v>67</v>
      </c>
      <c r="C814" s="1" t="s">
        <v>68</v>
      </c>
      <c r="D814" s="1" t="s">
        <v>46</v>
      </c>
      <c r="E814" s="1" t="s">
        <v>3596</v>
      </c>
      <c r="F814" s="1"/>
      <c r="G814" s="1" t="s">
        <v>70</v>
      </c>
      <c r="H814" s="1" t="s">
        <v>50</v>
      </c>
      <c r="I814" s="1">
        <v>8508.0</v>
      </c>
      <c r="J814" s="1"/>
      <c r="K814" s="1"/>
      <c r="L814" s="1" t="s">
        <v>371</v>
      </c>
      <c r="M814" s="1" t="s">
        <v>1752</v>
      </c>
      <c r="N814" s="1" t="s">
        <v>283</v>
      </c>
      <c r="O814" s="1" t="s">
        <v>978</v>
      </c>
      <c r="P814" s="2">
        <v>43801.375</v>
      </c>
      <c r="Q814" s="1" t="s">
        <v>373</v>
      </c>
      <c r="R814" s="3">
        <v>43801.0</v>
      </c>
      <c r="S814" s="1"/>
      <c r="T814" s="1">
        <v>5218102.0</v>
      </c>
      <c r="U814" s="1" t="s">
        <v>3597</v>
      </c>
      <c r="V814" s="1" t="s">
        <v>375</v>
      </c>
      <c r="W814" s="1" t="s">
        <v>127</v>
      </c>
      <c r="X814" s="1"/>
      <c r="Y814" s="1" t="str">
        <f>"02010003974201970"</f>
        <v>02010003974201970</v>
      </c>
      <c r="Z814" s="1" t="s">
        <v>980</v>
      </c>
      <c r="AA814" s="1" t="s">
        <v>3598</v>
      </c>
      <c r="AB814" s="1" t="str">
        <f>"***579970**"</f>
        <v>***579970**</v>
      </c>
      <c r="AC814" s="1"/>
      <c r="AD814" s="1"/>
      <c r="AE814" s="1"/>
      <c r="AF814" s="1">
        <v>-52.678612</v>
      </c>
      <c r="AG814" s="1">
        <v>-17.332779</v>
      </c>
      <c r="AH814" s="1" t="s">
        <v>3599</v>
      </c>
      <c r="AI814" s="1"/>
      <c r="AJ814" s="1" t="s">
        <v>371</v>
      </c>
      <c r="AK814" s="1"/>
      <c r="AL814" s="1" t="s">
        <v>79</v>
      </c>
      <c r="AM814" s="1" t="s">
        <v>65</v>
      </c>
      <c r="AN814" s="1" t="s">
        <v>1551</v>
      </c>
      <c r="AO814" s="2">
        <v>44057.0</v>
      </c>
      <c r="AP814" s="2">
        <v>44057.5181944445</v>
      </c>
      <c r="AQ814" s="1" t="s">
        <v>80</v>
      </c>
      <c r="AR814" s="1" t="s">
        <v>1576</v>
      </c>
      <c r="AS814" s="1" t="s">
        <v>3600</v>
      </c>
      <c r="AT814" s="2">
        <v>44269.931099537</v>
      </c>
    </row>
    <row r="815" ht="13.5" customHeight="1">
      <c r="A815" s="1"/>
      <c r="B815" s="1" t="s">
        <v>46</v>
      </c>
      <c r="C815" s="1" t="s">
        <v>47</v>
      </c>
      <c r="D815" s="1"/>
      <c r="E815" s="1" t="s">
        <v>3601</v>
      </c>
      <c r="F815" s="1"/>
      <c r="G815" s="1" t="s">
        <v>49</v>
      </c>
      <c r="H815" s="1" t="s">
        <v>93</v>
      </c>
      <c r="I815" s="1">
        <v>25000.0</v>
      </c>
      <c r="J815" s="1"/>
      <c r="K815" s="1" t="s">
        <v>51</v>
      </c>
      <c r="L815" s="1"/>
      <c r="M815" s="1" t="s">
        <v>2670</v>
      </c>
      <c r="N815" s="1" t="s">
        <v>977</v>
      </c>
      <c r="O815" s="1" t="s">
        <v>978</v>
      </c>
      <c r="P815" s="2">
        <v>43801.374212963</v>
      </c>
      <c r="Q815" s="1" t="s">
        <v>74</v>
      </c>
      <c r="R815" s="1"/>
      <c r="S815" s="1"/>
      <c r="T815" s="1">
        <v>3509205.0</v>
      </c>
      <c r="U815" s="1" t="s">
        <v>2443</v>
      </c>
      <c r="V815" s="1" t="s">
        <v>58</v>
      </c>
      <c r="W815" s="1" t="s">
        <v>59</v>
      </c>
      <c r="X815" s="1"/>
      <c r="Y815" s="1"/>
      <c r="Z815" s="1" t="s">
        <v>980</v>
      </c>
      <c r="AA815" s="1" t="s">
        <v>3602</v>
      </c>
      <c r="AB815" s="1" t="str">
        <f>"15275870000140"</f>
        <v>15275870000140</v>
      </c>
      <c r="AC815" s="1"/>
      <c r="AD815" s="1" t="s">
        <v>149</v>
      </c>
      <c r="AE815" s="1"/>
      <c r="AF815" s="1">
        <v>-46.913055</v>
      </c>
      <c r="AG815" s="1">
        <v>-23.335278</v>
      </c>
      <c r="AH815" s="1" t="s">
        <v>3602</v>
      </c>
      <c r="AI815" s="1"/>
      <c r="AJ815" s="1" t="s">
        <v>172</v>
      </c>
      <c r="AK815" s="1"/>
      <c r="AL815" s="1"/>
      <c r="AM815" s="1" t="s">
        <v>65</v>
      </c>
      <c r="AN815" s="1" t="s">
        <v>983</v>
      </c>
      <c r="AO815" s="1"/>
      <c r="AP815" s="2">
        <v>43992.541099537</v>
      </c>
      <c r="AQ815" s="1"/>
      <c r="AR815" s="1" t="s">
        <v>984</v>
      </c>
      <c r="AS815" s="1" t="s">
        <v>3603</v>
      </c>
      <c r="AT815" s="2">
        <v>44269.931099537</v>
      </c>
    </row>
    <row r="816" ht="13.5" customHeight="1">
      <c r="A816" s="1">
        <v>2035097.0</v>
      </c>
      <c r="B816" s="1" t="s">
        <v>67</v>
      </c>
      <c r="C816" s="1" t="s">
        <v>68</v>
      </c>
      <c r="D816" s="1" t="s">
        <v>46</v>
      </c>
      <c r="E816" s="1" t="s">
        <v>3604</v>
      </c>
      <c r="F816" s="1"/>
      <c r="G816" s="1" t="s">
        <v>70</v>
      </c>
      <c r="H816" s="1" t="s">
        <v>93</v>
      </c>
      <c r="I816" s="1">
        <v>1147500.0</v>
      </c>
      <c r="J816" s="1"/>
      <c r="K816" s="1"/>
      <c r="L816" s="1" t="s">
        <v>172</v>
      </c>
      <c r="M816" s="1" t="s">
        <v>3605</v>
      </c>
      <c r="N816" s="1" t="s">
        <v>142</v>
      </c>
      <c r="O816" s="1" t="s">
        <v>143</v>
      </c>
      <c r="P816" s="2">
        <v>43801.3333333333</v>
      </c>
      <c r="Q816" s="1" t="s">
        <v>55</v>
      </c>
      <c r="R816" s="3">
        <v>43801.0</v>
      </c>
      <c r="S816" s="1"/>
      <c r="T816" s="1">
        <v>1302405.0</v>
      </c>
      <c r="U816" s="1" t="s">
        <v>2258</v>
      </c>
      <c r="V816" s="1" t="s">
        <v>486</v>
      </c>
      <c r="W816" s="1" t="s">
        <v>177</v>
      </c>
      <c r="X816" s="1"/>
      <c r="Y816" s="1" t="str">
        <f>"02001035155201909"</f>
        <v>02001035155201909</v>
      </c>
      <c r="Z816" s="1" t="s">
        <v>147</v>
      </c>
      <c r="AA816" s="1" t="s">
        <v>3606</v>
      </c>
      <c r="AB816" s="1" t="str">
        <f>"***793736**"</f>
        <v>***793736**</v>
      </c>
      <c r="AC816" s="1"/>
      <c r="AD816" s="1"/>
      <c r="AE816" s="1"/>
      <c r="AF816" s="1">
        <v>-67.176949</v>
      </c>
      <c r="AG816" s="1">
        <v>-8.678333</v>
      </c>
      <c r="AH816" s="1" t="s">
        <v>3607</v>
      </c>
      <c r="AI816" s="1"/>
      <c r="AJ816" s="1" t="s">
        <v>172</v>
      </c>
      <c r="AK816" s="1"/>
      <c r="AL816" s="1" t="s">
        <v>79</v>
      </c>
      <c r="AM816" s="1" t="s">
        <v>65</v>
      </c>
      <c r="AN816" s="1" t="s">
        <v>1395</v>
      </c>
      <c r="AO816" s="2">
        <v>43895.0</v>
      </c>
      <c r="AP816" s="2">
        <v>43895.373275463</v>
      </c>
      <c r="AQ816" s="1" t="s">
        <v>80</v>
      </c>
      <c r="AR816" s="1" t="s">
        <v>421</v>
      </c>
      <c r="AS816" s="1" t="s">
        <v>3575</v>
      </c>
      <c r="AT816" s="2">
        <v>44269.931099537</v>
      </c>
    </row>
    <row r="817" ht="13.5" customHeight="1">
      <c r="A817" s="1">
        <v>2034838.0</v>
      </c>
      <c r="B817" s="1" t="s">
        <v>67</v>
      </c>
      <c r="C817" s="1" t="s">
        <v>68</v>
      </c>
      <c r="D817" s="1" t="s">
        <v>46</v>
      </c>
      <c r="E817" s="1" t="s">
        <v>3608</v>
      </c>
      <c r="F817" s="1"/>
      <c r="G817" s="1" t="s">
        <v>70</v>
      </c>
      <c r="H817" s="1" t="s">
        <v>93</v>
      </c>
      <c r="I817" s="1">
        <v>115000.0</v>
      </c>
      <c r="J817" s="1"/>
      <c r="K817" s="1"/>
      <c r="L817" s="1" t="s">
        <v>196</v>
      </c>
      <c r="M817" s="1" t="s">
        <v>3609</v>
      </c>
      <c r="N817" s="1" t="s">
        <v>142</v>
      </c>
      <c r="O817" s="1" t="s">
        <v>143</v>
      </c>
      <c r="P817" s="2">
        <v>43800.8333333333</v>
      </c>
      <c r="Q817" s="1" t="s">
        <v>74</v>
      </c>
      <c r="R817" s="3">
        <v>43799.0</v>
      </c>
      <c r="S817" s="1"/>
      <c r="T817" s="1">
        <v>1505809.0</v>
      </c>
      <c r="U817" s="1" t="s">
        <v>3084</v>
      </c>
      <c r="V817" s="1" t="s">
        <v>193</v>
      </c>
      <c r="W817" s="1" t="s">
        <v>177</v>
      </c>
      <c r="X817" s="1"/>
      <c r="Y817" s="1" t="str">
        <f>"02018010974201956"</f>
        <v>02018010974201956</v>
      </c>
      <c r="Z817" s="1" t="s">
        <v>147</v>
      </c>
      <c r="AA817" s="1" t="s">
        <v>3610</v>
      </c>
      <c r="AB817" s="1" t="str">
        <f>"***057356**"</f>
        <v>***057356**</v>
      </c>
      <c r="AC817" s="1"/>
      <c r="AD817" s="1"/>
      <c r="AE817" s="1"/>
      <c r="AF817" s="1">
        <v>-50.594723</v>
      </c>
      <c r="AG817" s="1">
        <v>-3.227222</v>
      </c>
      <c r="AH817" s="1" t="s">
        <v>3611</v>
      </c>
      <c r="AI817" s="1"/>
      <c r="AJ817" s="1" t="s">
        <v>196</v>
      </c>
      <c r="AK817" s="1"/>
      <c r="AL817" s="1" t="s">
        <v>79</v>
      </c>
      <c r="AM817" s="1" t="s">
        <v>65</v>
      </c>
      <c r="AN817" s="1" t="s">
        <v>3087</v>
      </c>
      <c r="AO817" s="2">
        <v>43892.0</v>
      </c>
      <c r="AP817" s="2">
        <v>43892.4614699074</v>
      </c>
      <c r="AQ817" s="1" t="s">
        <v>80</v>
      </c>
      <c r="AR817" s="1" t="s">
        <v>650</v>
      </c>
      <c r="AS817" s="1"/>
      <c r="AT817" s="2">
        <v>44269.931099537</v>
      </c>
    </row>
    <row r="818" ht="13.5" customHeight="1">
      <c r="A818" s="1"/>
      <c r="B818" s="1" t="s">
        <v>46</v>
      </c>
      <c r="C818" s="1" t="s">
        <v>47</v>
      </c>
      <c r="D818" s="1"/>
      <c r="E818" s="1" t="s">
        <v>3612</v>
      </c>
      <c r="F818" s="1"/>
      <c r="G818" s="1" t="s">
        <v>49</v>
      </c>
      <c r="H818" s="1" t="s">
        <v>93</v>
      </c>
      <c r="I818" s="1">
        <v>10000.0</v>
      </c>
      <c r="J818" s="1"/>
      <c r="K818" s="1" t="s">
        <v>51</v>
      </c>
      <c r="L818" s="1"/>
      <c r="M818" s="1" t="s">
        <v>3613</v>
      </c>
      <c r="N818" s="1" t="s">
        <v>142</v>
      </c>
      <c r="O818" s="1" t="s">
        <v>143</v>
      </c>
      <c r="P818" s="2">
        <v>43800.7580671296</v>
      </c>
      <c r="Q818" s="1" t="s">
        <v>74</v>
      </c>
      <c r="R818" s="1"/>
      <c r="S818" s="1"/>
      <c r="T818" s="1">
        <v>1100080.0</v>
      </c>
      <c r="U818" s="1" t="s">
        <v>1392</v>
      </c>
      <c r="V818" s="1" t="s">
        <v>448</v>
      </c>
      <c r="W818" s="1" t="s">
        <v>177</v>
      </c>
      <c r="X818" s="1"/>
      <c r="Y818" s="1"/>
      <c r="Z818" s="1" t="s">
        <v>147</v>
      </c>
      <c r="AA818" s="1" t="s">
        <v>3614</v>
      </c>
      <c r="AB818" s="1" t="str">
        <f>"***209531**"</f>
        <v>***209531**</v>
      </c>
      <c r="AC818" s="1"/>
      <c r="AD818" s="1" t="s">
        <v>149</v>
      </c>
      <c r="AE818" s="1"/>
      <c r="AF818" s="1">
        <v>-64.041389</v>
      </c>
      <c r="AG818" s="1">
        <v>-12.428333</v>
      </c>
      <c r="AH818" s="1" t="s">
        <v>3615</v>
      </c>
      <c r="AI818" s="1"/>
      <c r="AJ818" s="1" t="s">
        <v>172</v>
      </c>
      <c r="AK818" s="1"/>
      <c r="AL818" s="1"/>
      <c r="AM818" s="1" t="s">
        <v>65</v>
      </c>
      <c r="AN818" s="1" t="s">
        <v>1395</v>
      </c>
      <c r="AO818" s="1"/>
      <c r="AP818" s="2">
        <v>43800.7647222222</v>
      </c>
      <c r="AQ818" s="1"/>
      <c r="AR818" s="1" t="s">
        <v>793</v>
      </c>
      <c r="AS818" s="1"/>
      <c r="AT818" s="2">
        <v>44269.931099537</v>
      </c>
    </row>
    <row r="819" ht="13.5" customHeight="1">
      <c r="A819" s="1"/>
      <c r="B819" s="1" t="s">
        <v>46</v>
      </c>
      <c r="C819" s="1" t="s">
        <v>47</v>
      </c>
      <c r="D819" s="1"/>
      <c r="E819" s="1" t="s">
        <v>3616</v>
      </c>
      <c r="F819" s="1"/>
      <c r="G819" s="1" t="s">
        <v>49</v>
      </c>
      <c r="H819" s="1" t="s">
        <v>50</v>
      </c>
      <c r="I819" s="1">
        <v>40300.0</v>
      </c>
      <c r="J819" s="1"/>
      <c r="K819" s="1" t="s">
        <v>140</v>
      </c>
      <c r="L819" s="1"/>
      <c r="M819" s="1" t="s">
        <v>3617</v>
      </c>
      <c r="N819" s="1" t="s">
        <v>53</v>
      </c>
      <c r="O819" s="1" t="s">
        <v>54</v>
      </c>
      <c r="P819" s="2">
        <v>43800.6759490741</v>
      </c>
      <c r="Q819" s="1" t="s">
        <v>373</v>
      </c>
      <c r="R819" s="1"/>
      <c r="S819" s="1"/>
      <c r="T819" s="1">
        <v>4317301.0</v>
      </c>
      <c r="U819" s="1" t="s">
        <v>960</v>
      </c>
      <c r="V819" s="1" t="s">
        <v>145</v>
      </c>
      <c r="W819" s="1" t="s">
        <v>288</v>
      </c>
      <c r="X819" s="1"/>
      <c r="Y819" s="1"/>
      <c r="Z819" s="1" t="s">
        <v>60</v>
      </c>
      <c r="AA819" s="1" t="s">
        <v>3618</v>
      </c>
      <c r="AB819" s="1" t="str">
        <f t="shared" ref="AB819:AB820" si="36">"***409950**"</f>
        <v>***409950**</v>
      </c>
      <c r="AC819" s="1"/>
      <c r="AD819" s="1" t="s">
        <v>62</v>
      </c>
      <c r="AE819" s="1"/>
      <c r="AF819" s="1">
        <v>-52.474167</v>
      </c>
      <c r="AG819" s="1">
        <v>-32.858055</v>
      </c>
      <c r="AH819" s="1" t="s">
        <v>3619</v>
      </c>
      <c r="AI819" s="1"/>
      <c r="AJ819" s="1" t="s">
        <v>172</v>
      </c>
      <c r="AK819" s="1"/>
      <c r="AL819" s="1"/>
      <c r="AM819" s="1" t="s">
        <v>65</v>
      </c>
      <c r="AN819" s="1" t="s">
        <v>3620</v>
      </c>
      <c r="AO819" s="1"/>
      <c r="AP819" s="2">
        <v>43800.7149537037</v>
      </c>
      <c r="AQ819" s="1"/>
      <c r="AR819" s="1" t="s">
        <v>3621</v>
      </c>
      <c r="AS819" s="1"/>
      <c r="AT819" s="2">
        <v>44269.931099537</v>
      </c>
    </row>
    <row r="820" ht="13.5" customHeight="1">
      <c r="A820" s="1"/>
      <c r="B820" s="1" t="s">
        <v>46</v>
      </c>
      <c r="C820" s="1" t="s">
        <v>47</v>
      </c>
      <c r="D820" s="1"/>
      <c r="E820" s="1" t="s">
        <v>3622</v>
      </c>
      <c r="F820" s="1"/>
      <c r="G820" s="1" t="s">
        <v>49</v>
      </c>
      <c r="H820" s="1" t="s">
        <v>50</v>
      </c>
      <c r="I820" s="1">
        <v>130700.0</v>
      </c>
      <c r="J820" s="1"/>
      <c r="K820" s="1" t="s">
        <v>140</v>
      </c>
      <c r="L820" s="1"/>
      <c r="M820" s="1" t="s">
        <v>3623</v>
      </c>
      <c r="N820" s="1" t="s">
        <v>53</v>
      </c>
      <c r="O820" s="1" t="s">
        <v>54</v>
      </c>
      <c r="P820" s="2">
        <v>43800.6649652778</v>
      </c>
      <c r="Q820" s="1" t="s">
        <v>373</v>
      </c>
      <c r="R820" s="1"/>
      <c r="S820" s="1"/>
      <c r="T820" s="1">
        <v>4317301.0</v>
      </c>
      <c r="U820" s="1" t="s">
        <v>960</v>
      </c>
      <c r="V820" s="1" t="s">
        <v>145</v>
      </c>
      <c r="W820" s="1" t="s">
        <v>288</v>
      </c>
      <c r="X820" s="1"/>
      <c r="Y820" s="1"/>
      <c r="Z820" s="1" t="s">
        <v>60</v>
      </c>
      <c r="AA820" s="1" t="s">
        <v>3618</v>
      </c>
      <c r="AB820" s="1" t="str">
        <f t="shared" si="36"/>
        <v>***409950**</v>
      </c>
      <c r="AC820" s="1"/>
      <c r="AD820" s="1" t="s">
        <v>62</v>
      </c>
      <c r="AE820" s="1"/>
      <c r="AF820" s="1">
        <v>-52.474167</v>
      </c>
      <c r="AG820" s="1">
        <v>-32.858055</v>
      </c>
      <c r="AH820" s="1" t="s">
        <v>3619</v>
      </c>
      <c r="AI820" s="1"/>
      <c r="AJ820" s="1" t="s">
        <v>172</v>
      </c>
      <c r="AK820" s="1"/>
      <c r="AL820" s="1"/>
      <c r="AM820" s="1" t="s">
        <v>65</v>
      </c>
      <c r="AN820" s="1" t="s">
        <v>3620</v>
      </c>
      <c r="AO820" s="1"/>
      <c r="AP820" s="2">
        <v>43800.7109722222</v>
      </c>
      <c r="AQ820" s="1"/>
      <c r="AR820" s="1" t="s">
        <v>3624</v>
      </c>
      <c r="AS820" s="1"/>
      <c r="AT820" s="2">
        <v>44269.931099537</v>
      </c>
    </row>
    <row r="821" ht="13.5" customHeight="1">
      <c r="A821" s="1"/>
      <c r="B821" s="1" t="s">
        <v>46</v>
      </c>
      <c r="C821" s="1" t="s">
        <v>47</v>
      </c>
      <c r="D821" s="1"/>
      <c r="E821" s="1" t="s">
        <v>3625</v>
      </c>
      <c r="F821" s="1"/>
      <c r="G821" s="1" t="s">
        <v>49</v>
      </c>
      <c r="H821" s="1" t="s">
        <v>50</v>
      </c>
      <c r="I821" s="1">
        <v>40300.0</v>
      </c>
      <c r="J821" s="1"/>
      <c r="K821" s="1" t="s">
        <v>140</v>
      </c>
      <c r="L821" s="1"/>
      <c r="M821" s="1" t="s">
        <v>3626</v>
      </c>
      <c r="N821" s="1" t="s">
        <v>53</v>
      </c>
      <c r="O821" s="1" t="s">
        <v>54</v>
      </c>
      <c r="P821" s="2">
        <v>43800.6593055556</v>
      </c>
      <c r="Q821" s="1" t="s">
        <v>373</v>
      </c>
      <c r="R821" s="1"/>
      <c r="S821" s="1"/>
      <c r="T821" s="1">
        <v>4317301.0</v>
      </c>
      <c r="U821" s="1" t="s">
        <v>960</v>
      </c>
      <c r="V821" s="1" t="s">
        <v>145</v>
      </c>
      <c r="W821" s="1" t="s">
        <v>288</v>
      </c>
      <c r="X821" s="1"/>
      <c r="Y821" s="1"/>
      <c r="Z821" s="1" t="s">
        <v>60</v>
      </c>
      <c r="AA821" s="1" t="s">
        <v>3627</v>
      </c>
      <c r="AB821" s="1" t="str">
        <f>"***489000**"</f>
        <v>***489000**</v>
      </c>
      <c r="AC821" s="1"/>
      <c r="AD821" s="1" t="s">
        <v>62</v>
      </c>
      <c r="AE821" s="1"/>
      <c r="AF821" s="1">
        <v>-52.474167</v>
      </c>
      <c r="AG821" s="1">
        <v>-32.858055</v>
      </c>
      <c r="AH821" s="1" t="s">
        <v>3628</v>
      </c>
      <c r="AI821" s="1"/>
      <c r="AJ821" s="1" t="s">
        <v>172</v>
      </c>
      <c r="AK821" s="1"/>
      <c r="AL821" s="1"/>
      <c r="AM821" s="1" t="s">
        <v>65</v>
      </c>
      <c r="AN821" s="1" t="s">
        <v>3620</v>
      </c>
      <c r="AO821" s="1"/>
      <c r="AP821" s="2">
        <v>44102.7941898148</v>
      </c>
      <c r="AQ821" s="1"/>
      <c r="AR821" s="1" t="s">
        <v>2875</v>
      </c>
      <c r="AS821" s="1"/>
      <c r="AT821" s="2">
        <v>44269.931099537</v>
      </c>
    </row>
    <row r="822" ht="13.5" customHeight="1">
      <c r="A822" s="1"/>
      <c r="B822" s="1" t="s">
        <v>46</v>
      </c>
      <c r="C822" s="1" t="s">
        <v>47</v>
      </c>
      <c r="D822" s="1"/>
      <c r="E822" s="1" t="s">
        <v>3629</v>
      </c>
      <c r="F822" s="1"/>
      <c r="G822" s="1" t="s">
        <v>49</v>
      </c>
      <c r="H822" s="1" t="s">
        <v>50</v>
      </c>
      <c r="I822" s="1">
        <v>100700.0</v>
      </c>
      <c r="J822" s="1"/>
      <c r="K822" s="1" t="s">
        <v>140</v>
      </c>
      <c r="L822" s="1"/>
      <c r="M822" s="1" t="s">
        <v>3630</v>
      </c>
      <c r="N822" s="1" t="s">
        <v>53</v>
      </c>
      <c r="O822" s="1" t="s">
        <v>54</v>
      </c>
      <c r="P822" s="2">
        <v>43800.6458680556</v>
      </c>
      <c r="Q822" s="1" t="s">
        <v>373</v>
      </c>
      <c r="R822" s="1"/>
      <c r="S822" s="1"/>
      <c r="T822" s="1">
        <v>4317301.0</v>
      </c>
      <c r="U822" s="1" t="s">
        <v>960</v>
      </c>
      <c r="V822" s="1" t="s">
        <v>145</v>
      </c>
      <c r="W822" s="1" t="s">
        <v>288</v>
      </c>
      <c r="X822" s="1"/>
      <c r="Y822" s="1"/>
      <c r="Z822" s="1" t="s">
        <v>60</v>
      </c>
      <c r="AA822" s="1" t="s">
        <v>3631</v>
      </c>
      <c r="AB822" s="1" t="str">
        <f>"***409950**"</f>
        <v>***409950**</v>
      </c>
      <c r="AC822" s="1"/>
      <c r="AD822" s="1" t="s">
        <v>62</v>
      </c>
      <c r="AE822" s="1"/>
      <c r="AF822" s="1">
        <v>-52.474167</v>
      </c>
      <c r="AG822" s="1">
        <v>-32.856667</v>
      </c>
      <c r="AH822" s="1" t="s">
        <v>3619</v>
      </c>
      <c r="AI822" s="1"/>
      <c r="AJ822" s="1" t="s">
        <v>172</v>
      </c>
      <c r="AK822" s="1"/>
      <c r="AL822" s="1"/>
      <c r="AM822" s="1" t="s">
        <v>65</v>
      </c>
      <c r="AN822" s="1" t="s">
        <v>3620</v>
      </c>
      <c r="AO822" s="1"/>
      <c r="AP822" s="2">
        <v>43800.7129166667</v>
      </c>
      <c r="AQ822" s="1"/>
      <c r="AR822" s="1" t="s">
        <v>1675</v>
      </c>
      <c r="AS822" s="1" t="s">
        <v>3632</v>
      </c>
      <c r="AT822" s="2">
        <v>44269.931099537</v>
      </c>
    </row>
    <row r="823" ht="13.5" customHeight="1">
      <c r="A823" s="1">
        <v>2037328.0</v>
      </c>
      <c r="B823" s="1" t="s">
        <v>67</v>
      </c>
      <c r="C823" s="1" t="s">
        <v>68</v>
      </c>
      <c r="D823" s="1" t="s">
        <v>46</v>
      </c>
      <c r="E823" s="1" t="s">
        <v>3633</v>
      </c>
      <c r="F823" s="1"/>
      <c r="G823" s="1" t="s">
        <v>70</v>
      </c>
      <c r="H823" s="1" t="s">
        <v>50</v>
      </c>
      <c r="I823" s="1">
        <v>130700.0</v>
      </c>
      <c r="J823" s="1"/>
      <c r="K823" s="1"/>
      <c r="L823" s="1" t="s">
        <v>172</v>
      </c>
      <c r="M823" s="1" t="s">
        <v>3634</v>
      </c>
      <c r="N823" s="1" t="s">
        <v>53</v>
      </c>
      <c r="O823" s="1" t="s">
        <v>54</v>
      </c>
      <c r="P823" s="2">
        <v>43800.625</v>
      </c>
      <c r="Q823" s="1" t="s">
        <v>373</v>
      </c>
      <c r="R823" s="3">
        <v>43800.0</v>
      </c>
      <c r="S823" s="1"/>
      <c r="T823" s="1">
        <v>4317301.0</v>
      </c>
      <c r="U823" s="1" t="s">
        <v>960</v>
      </c>
      <c r="V823" s="1" t="s">
        <v>145</v>
      </c>
      <c r="W823" s="1" t="s">
        <v>288</v>
      </c>
      <c r="X823" s="1"/>
      <c r="Y823" s="1" t="str">
        <f>"02001036429201979"</f>
        <v>02001036429201979</v>
      </c>
      <c r="Z823" s="1" t="s">
        <v>60</v>
      </c>
      <c r="AA823" s="1" t="s">
        <v>3627</v>
      </c>
      <c r="AB823" s="1" t="str">
        <f t="shared" ref="AB823:AB826" si="37">"***489000**"</f>
        <v>***489000**</v>
      </c>
      <c r="AC823" s="1"/>
      <c r="AD823" s="1"/>
      <c r="AE823" s="1"/>
      <c r="AF823" s="1">
        <v>-52.474167</v>
      </c>
      <c r="AG823" s="1">
        <v>-32.858055</v>
      </c>
      <c r="AH823" s="1" t="s">
        <v>3635</v>
      </c>
      <c r="AI823" s="1"/>
      <c r="AJ823" s="1" t="s">
        <v>172</v>
      </c>
      <c r="AK823" s="1"/>
      <c r="AL823" s="1" t="s">
        <v>79</v>
      </c>
      <c r="AM823" s="1" t="s">
        <v>65</v>
      </c>
      <c r="AN823" s="1" t="s">
        <v>3620</v>
      </c>
      <c r="AO823" s="2">
        <v>43992.0</v>
      </c>
      <c r="AP823" s="2">
        <v>43992.4780787037</v>
      </c>
      <c r="AQ823" s="1" t="s">
        <v>80</v>
      </c>
      <c r="AR823" s="1" t="s">
        <v>3636</v>
      </c>
      <c r="AS823" s="1"/>
      <c r="AT823" s="2">
        <v>44269.931099537</v>
      </c>
    </row>
    <row r="824" ht="13.5" customHeight="1">
      <c r="A824" s="1"/>
      <c r="B824" s="1" t="s">
        <v>46</v>
      </c>
      <c r="C824" s="1" t="s">
        <v>47</v>
      </c>
      <c r="D824" s="1"/>
      <c r="E824" s="1" t="s">
        <v>3637</v>
      </c>
      <c r="F824" s="1"/>
      <c r="G824" s="1" t="s">
        <v>49</v>
      </c>
      <c r="H824" s="1" t="s">
        <v>50</v>
      </c>
      <c r="I824" s="1">
        <v>130700.0</v>
      </c>
      <c r="J824" s="1"/>
      <c r="K824" s="1"/>
      <c r="L824" s="1"/>
      <c r="M824" s="1" t="s">
        <v>3638</v>
      </c>
      <c r="N824" s="1" t="s">
        <v>53</v>
      </c>
      <c r="O824" s="1" t="s">
        <v>54</v>
      </c>
      <c r="P824" s="2">
        <v>43800.614212963</v>
      </c>
      <c r="Q824" s="1" t="s">
        <v>373</v>
      </c>
      <c r="R824" s="1"/>
      <c r="S824" s="1"/>
      <c r="T824" s="1">
        <v>4317301.0</v>
      </c>
      <c r="U824" s="1" t="s">
        <v>960</v>
      </c>
      <c r="V824" s="1" t="s">
        <v>145</v>
      </c>
      <c r="W824" s="1" t="s">
        <v>288</v>
      </c>
      <c r="X824" s="1"/>
      <c r="Y824" s="1"/>
      <c r="Z824" s="1" t="s">
        <v>60</v>
      </c>
      <c r="AA824" s="1" t="s">
        <v>3627</v>
      </c>
      <c r="AB824" s="1" t="str">
        <f t="shared" si="37"/>
        <v>***489000**</v>
      </c>
      <c r="AC824" s="1"/>
      <c r="AD824" s="1" t="s">
        <v>62</v>
      </c>
      <c r="AE824" s="1"/>
      <c r="AF824" s="1">
        <v>-52.340832</v>
      </c>
      <c r="AG824" s="1">
        <v>-32.858055</v>
      </c>
      <c r="AH824" s="1" t="s">
        <v>3635</v>
      </c>
      <c r="AI824" s="1"/>
      <c r="AJ824" s="1" t="s">
        <v>172</v>
      </c>
      <c r="AK824" s="1"/>
      <c r="AL824" s="1"/>
      <c r="AM824" s="1" t="s">
        <v>65</v>
      </c>
      <c r="AN824" s="1" t="s">
        <v>3620</v>
      </c>
      <c r="AO824" s="1"/>
      <c r="AP824" s="2">
        <v>44102.793912037</v>
      </c>
      <c r="AQ824" s="1"/>
      <c r="AR824" s="1" t="s">
        <v>3247</v>
      </c>
      <c r="AS824" s="1" t="s">
        <v>3639</v>
      </c>
      <c r="AT824" s="2">
        <v>44269.931099537</v>
      </c>
    </row>
    <row r="825" ht="13.5" customHeight="1">
      <c r="A825" s="1">
        <v>2038136.0</v>
      </c>
      <c r="B825" s="1" t="s">
        <v>67</v>
      </c>
      <c r="C825" s="1" t="s">
        <v>68</v>
      </c>
      <c r="D825" s="1" t="s">
        <v>46</v>
      </c>
      <c r="E825" s="1" t="s">
        <v>3640</v>
      </c>
      <c r="F825" s="1"/>
      <c r="G825" s="1" t="s">
        <v>70</v>
      </c>
      <c r="H825" s="1" t="s">
        <v>93</v>
      </c>
      <c r="I825" s="1">
        <v>130700.0</v>
      </c>
      <c r="J825" s="1"/>
      <c r="K825" s="1"/>
      <c r="L825" s="1" t="s">
        <v>172</v>
      </c>
      <c r="M825" s="1" t="s">
        <v>3641</v>
      </c>
      <c r="N825" s="1" t="s">
        <v>53</v>
      </c>
      <c r="O825" s="1" t="s">
        <v>54</v>
      </c>
      <c r="P825" s="2">
        <v>43800.5416666667</v>
      </c>
      <c r="Q825" s="1" t="s">
        <v>373</v>
      </c>
      <c r="R825" s="3">
        <v>43800.0</v>
      </c>
      <c r="S825" s="1"/>
      <c r="T825" s="1">
        <v>4317301.0</v>
      </c>
      <c r="U825" s="1" t="s">
        <v>960</v>
      </c>
      <c r="V825" s="1" t="s">
        <v>145</v>
      </c>
      <c r="W825" s="1" t="s">
        <v>288</v>
      </c>
      <c r="X825" s="1"/>
      <c r="Y825" s="1" t="str">
        <f>"02001036428201924"</f>
        <v>02001036428201924</v>
      </c>
      <c r="Z825" s="1" t="s">
        <v>60</v>
      </c>
      <c r="AA825" s="1" t="s">
        <v>3627</v>
      </c>
      <c r="AB825" s="1" t="str">
        <f t="shared" si="37"/>
        <v>***489000**</v>
      </c>
      <c r="AC825" s="1"/>
      <c r="AD825" s="1"/>
      <c r="AE825" s="1"/>
      <c r="AF825" s="1">
        <v>-52.474167</v>
      </c>
      <c r="AG825" s="1">
        <v>-32.858055</v>
      </c>
      <c r="AH825" s="1" t="s">
        <v>3635</v>
      </c>
      <c r="AI825" s="1"/>
      <c r="AJ825" s="1" t="s">
        <v>172</v>
      </c>
      <c r="AK825" s="1"/>
      <c r="AL825" s="1" t="s">
        <v>79</v>
      </c>
      <c r="AM825" s="1" t="s">
        <v>65</v>
      </c>
      <c r="AN825" s="1" t="s">
        <v>3620</v>
      </c>
      <c r="AO825" s="2">
        <v>44025.0</v>
      </c>
      <c r="AP825" s="2">
        <v>44025.3356134259</v>
      </c>
      <c r="AQ825" s="1" t="s">
        <v>80</v>
      </c>
      <c r="AR825" s="1" t="s">
        <v>3642</v>
      </c>
      <c r="AS825" s="1"/>
      <c r="AT825" s="2">
        <v>44269.931099537</v>
      </c>
    </row>
    <row r="826" ht="13.5" customHeight="1">
      <c r="A826" s="1">
        <v>2042353.0</v>
      </c>
      <c r="B826" s="1" t="s">
        <v>67</v>
      </c>
      <c r="C826" s="1" t="s">
        <v>68</v>
      </c>
      <c r="D826" s="1" t="s">
        <v>46</v>
      </c>
      <c r="E826" s="1" t="s">
        <v>3643</v>
      </c>
      <c r="F826" s="1"/>
      <c r="G826" s="1" t="s">
        <v>70</v>
      </c>
      <c r="H826" s="1" t="s">
        <v>50</v>
      </c>
      <c r="I826" s="1">
        <v>100000.0</v>
      </c>
      <c r="J826" s="1"/>
      <c r="K826" s="1"/>
      <c r="L826" s="1" t="s">
        <v>172</v>
      </c>
      <c r="M826" s="1" t="s">
        <v>3644</v>
      </c>
      <c r="N826" s="1" t="s">
        <v>53</v>
      </c>
      <c r="O826" s="1" t="s">
        <v>54</v>
      </c>
      <c r="P826" s="2">
        <v>43800.5416666667</v>
      </c>
      <c r="Q826" s="1" t="s">
        <v>373</v>
      </c>
      <c r="R826" s="3">
        <v>43800.0</v>
      </c>
      <c r="S826" s="1"/>
      <c r="T826" s="1">
        <v>4317301.0</v>
      </c>
      <c r="U826" s="1" t="s">
        <v>960</v>
      </c>
      <c r="V826" s="1" t="s">
        <v>145</v>
      </c>
      <c r="W826" s="1" t="s">
        <v>288</v>
      </c>
      <c r="X826" s="1"/>
      <c r="Y826" s="1" t="str">
        <f>"02001029704202031"</f>
        <v>02001029704202031</v>
      </c>
      <c r="Z826" s="1" t="s">
        <v>60</v>
      </c>
      <c r="AA826" s="1" t="s">
        <v>3627</v>
      </c>
      <c r="AB826" s="1" t="str">
        <f t="shared" si="37"/>
        <v>***489000**</v>
      </c>
      <c r="AC826" s="1"/>
      <c r="AD826" s="1"/>
      <c r="AE826" s="1"/>
      <c r="AF826" s="1">
        <v>-52.474167</v>
      </c>
      <c r="AG826" s="1">
        <v>-32.858055</v>
      </c>
      <c r="AH826" s="1" t="s">
        <v>3635</v>
      </c>
      <c r="AI826" s="1"/>
      <c r="AJ826" s="1" t="s">
        <v>172</v>
      </c>
      <c r="AK826" s="1"/>
      <c r="AL826" s="1" t="s">
        <v>79</v>
      </c>
      <c r="AM826" s="1" t="s">
        <v>65</v>
      </c>
      <c r="AN826" s="1" t="s">
        <v>3620</v>
      </c>
      <c r="AO826" s="2">
        <v>44194.0</v>
      </c>
      <c r="AP826" s="2">
        <v>44194.6595601852</v>
      </c>
      <c r="AQ826" s="1" t="s">
        <v>80</v>
      </c>
      <c r="AR826" s="1" t="s">
        <v>188</v>
      </c>
      <c r="AS826" s="1"/>
      <c r="AT826" s="2">
        <v>44269.931099537</v>
      </c>
    </row>
    <row r="827" ht="13.5" customHeight="1">
      <c r="A827" s="1"/>
      <c r="B827" s="1" t="s">
        <v>46</v>
      </c>
      <c r="C827" s="1" t="s">
        <v>47</v>
      </c>
      <c r="D827" s="1"/>
      <c r="E827" s="1" t="s">
        <v>3645</v>
      </c>
      <c r="F827" s="1"/>
      <c r="G827" s="1" t="s">
        <v>49</v>
      </c>
      <c r="H827" s="1" t="s">
        <v>50</v>
      </c>
      <c r="I827" s="1">
        <v>130700.0</v>
      </c>
      <c r="J827" s="1"/>
      <c r="K827" s="1" t="s">
        <v>140</v>
      </c>
      <c r="L827" s="1"/>
      <c r="M827" s="1" t="s">
        <v>3646</v>
      </c>
      <c r="N827" s="1" t="s">
        <v>53</v>
      </c>
      <c r="O827" s="1" t="s">
        <v>54</v>
      </c>
      <c r="P827" s="2">
        <v>43800.5281018519</v>
      </c>
      <c r="Q827" s="1" t="s">
        <v>373</v>
      </c>
      <c r="R827" s="1"/>
      <c r="S827" s="1"/>
      <c r="T827" s="1">
        <v>4317301.0</v>
      </c>
      <c r="U827" s="1" t="s">
        <v>960</v>
      </c>
      <c r="V827" s="1" t="s">
        <v>145</v>
      </c>
      <c r="W827" s="1" t="s">
        <v>288</v>
      </c>
      <c r="X827" s="1"/>
      <c r="Y827" s="1"/>
      <c r="Z827" s="1" t="s">
        <v>60</v>
      </c>
      <c r="AA827" s="1" t="s">
        <v>3647</v>
      </c>
      <c r="AB827" s="1" t="str">
        <f>"***409950**"</f>
        <v>***409950**</v>
      </c>
      <c r="AC827" s="1"/>
      <c r="AD827" s="1" t="s">
        <v>62</v>
      </c>
      <c r="AE827" s="1"/>
      <c r="AF827" s="1">
        <v>-52.474167</v>
      </c>
      <c r="AG827" s="1">
        <v>-32.858055</v>
      </c>
      <c r="AH827" s="1" t="s">
        <v>3648</v>
      </c>
      <c r="AI827" s="1"/>
      <c r="AJ827" s="1" t="s">
        <v>172</v>
      </c>
      <c r="AK827" s="1"/>
      <c r="AL827" s="1"/>
      <c r="AM827" s="1" t="s">
        <v>65</v>
      </c>
      <c r="AN827" s="1" t="s">
        <v>3620</v>
      </c>
      <c r="AO827" s="1"/>
      <c r="AP827" s="2">
        <v>43800.7079282408</v>
      </c>
      <c r="AQ827" s="1"/>
      <c r="AR827" s="1" t="s">
        <v>3259</v>
      </c>
      <c r="AS827" s="1" t="s">
        <v>3649</v>
      </c>
      <c r="AT827" s="2">
        <v>44269.931099537</v>
      </c>
    </row>
    <row r="828" ht="13.5" customHeight="1">
      <c r="A828" s="1">
        <v>2036143.0</v>
      </c>
      <c r="B828" s="1" t="s">
        <v>67</v>
      </c>
      <c r="C828" s="1" t="s">
        <v>68</v>
      </c>
      <c r="D828" s="1" t="s">
        <v>46</v>
      </c>
      <c r="E828" s="1" t="s">
        <v>3650</v>
      </c>
      <c r="F828" s="1"/>
      <c r="G828" s="1" t="s">
        <v>70</v>
      </c>
      <c r="H828" s="1" t="s">
        <v>50</v>
      </c>
      <c r="I828" s="1">
        <v>36400.0</v>
      </c>
      <c r="J828" s="1"/>
      <c r="K828" s="1"/>
      <c r="L828" s="1" t="s">
        <v>172</v>
      </c>
      <c r="M828" s="1" t="s">
        <v>3651</v>
      </c>
      <c r="N828" s="1" t="s">
        <v>53</v>
      </c>
      <c r="O828" s="1" t="s">
        <v>54</v>
      </c>
      <c r="P828" s="2">
        <v>43800.5</v>
      </c>
      <c r="Q828" s="1" t="s">
        <v>373</v>
      </c>
      <c r="R828" s="3">
        <v>43800.0</v>
      </c>
      <c r="S828" s="1"/>
      <c r="T828" s="1">
        <v>2408953.0</v>
      </c>
      <c r="U828" s="1" t="s">
        <v>3652</v>
      </c>
      <c r="V828" s="1" t="s">
        <v>1424</v>
      </c>
      <c r="W828" s="1" t="s">
        <v>288</v>
      </c>
      <c r="X828" s="1"/>
      <c r="Y828" s="1" t="str">
        <f>"02001010152202098"</f>
        <v>02001010152202098</v>
      </c>
      <c r="Z828" s="1" t="s">
        <v>60</v>
      </c>
      <c r="AA828" s="1" t="s">
        <v>3653</v>
      </c>
      <c r="AB828" s="1" t="str">
        <f>"***090174**"</f>
        <v>***090174**</v>
      </c>
      <c r="AC828" s="1"/>
      <c r="AD828" s="1"/>
      <c r="AE828" s="1"/>
      <c r="AF828" s="1">
        <v>-35.382774</v>
      </c>
      <c r="AG828" s="1">
        <v>-5.270556</v>
      </c>
      <c r="AH828" s="1" t="s">
        <v>3654</v>
      </c>
      <c r="AI828" s="1"/>
      <c r="AJ828" s="1" t="s">
        <v>172</v>
      </c>
      <c r="AK828" s="1"/>
      <c r="AL828" s="1" t="s">
        <v>79</v>
      </c>
      <c r="AM828" s="1" t="s">
        <v>65</v>
      </c>
      <c r="AN828" s="1" t="s">
        <v>2722</v>
      </c>
      <c r="AO828" s="2">
        <v>43937.0</v>
      </c>
      <c r="AP828" s="2">
        <v>43937.7428935185</v>
      </c>
      <c r="AQ828" s="1" t="s">
        <v>80</v>
      </c>
      <c r="AR828" s="1" t="s">
        <v>3655</v>
      </c>
      <c r="AS828" s="1" t="s">
        <v>3656</v>
      </c>
      <c r="AT828" s="2">
        <v>44269.931099537</v>
      </c>
    </row>
    <row r="829" ht="13.5" customHeight="1">
      <c r="A829" s="1">
        <v>2037079.0</v>
      </c>
      <c r="B829" s="1" t="s">
        <v>67</v>
      </c>
      <c r="C829" s="1" t="s">
        <v>68</v>
      </c>
      <c r="D829" s="1" t="s">
        <v>46</v>
      </c>
      <c r="E829" s="1" t="s">
        <v>3657</v>
      </c>
      <c r="F829" s="1"/>
      <c r="G829" s="1" t="s">
        <v>70</v>
      </c>
      <c r="H829" s="1" t="s">
        <v>50</v>
      </c>
      <c r="I829" s="1">
        <v>11524.5</v>
      </c>
      <c r="J829" s="1"/>
      <c r="K829" s="1"/>
      <c r="L829" s="1" t="s">
        <v>1172</v>
      </c>
      <c r="M829" s="1" t="s">
        <v>3658</v>
      </c>
      <c r="N829" s="1" t="s">
        <v>142</v>
      </c>
      <c r="O829" s="1" t="s">
        <v>143</v>
      </c>
      <c r="P829" s="2">
        <v>43800.4583333333</v>
      </c>
      <c r="Q829" s="1" t="s">
        <v>74</v>
      </c>
      <c r="R829" s="3">
        <v>43809.0</v>
      </c>
      <c r="S829" s="1"/>
      <c r="T829" s="1">
        <v>1505486.0</v>
      </c>
      <c r="U829" s="1" t="s">
        <v>3446</v>
      </c>
      <c r="V829" s="1" t="s">
        <v>193</v>
      </c>
      <c r="W829" s="1" t="s">
        <v>177</v>
      </c>
      <c r="X829" s="1"/>
      <c r="Y829" s="1"/>
      <c r="Z829" s="1" t="s">
        <v>147</v>
      </c>
      <c r="AA829" s="1" t="s">
        <v>3659</v>
      </c>
      <c r="AB829" s="1" t="str">
        <f>"***077525**"</f>
        <v>***077525**</v>
      </c>
      <c r="AC829" s="1"/>
      <c r="AD829" s="1"/>
      <c r="AE829" s="1"/>
      <c r="AF829" s="1">
        <v>-50.629444</v>
      </c>
      <c r="AG829" s="1">
        <v>-3.836111</v>
      </c>
      <c r="AH829" s="1" t="s">
        <v>3660</v>
      </c>
      <c r="AI829" s="1"/>
      <c r="AJ829" s="1" t="s">
        <v>1172</v>
      </c>
      <c r="AK829" s="1"/>
      <c r="AL829" s="1" t="s">
        <v>79</v>
      </c>
      <c r="AM829" s="1" t="s">
        <v>65</v>
      </c>
      <c r="AN829" s="1" t="s">
        <v>3087</v>
      </c>
      <c r="AO829" s="2">
        <v>43984.0</v>
      </c>
      <c r="AP829" s="2">
        <v>43984.4011805555</v>
      </c>
      <c r="AQ829" s="1" t="s">
        <v>80</v>
      </c>
      <c r="AR829" s="1" t="s">
        <v>181</v>
      </c>
      <c r="AS829" s="1"/>
      <c r="AT829" s="2">
        <v>44269.931099537</v>
      </c>
    </row>
    <row r="830" ht="13.5" customHeight="1">
      <c r="A830" s="1"/>
      <c r="B830" s="1" t="s">
        <v>46</v>
      </c>
      <c r="C830" s="1" t="s">
        <v>47</v>
      </c>
      <c r="D830" s="1"/>
      <c r="E830" s="1" t="s">
        <v>3661</v>
      </c>
      <c r="F830" s="1"/>
      <c r="G830" s="1" t="s">
        <v>49</v>
      </c>
      <c r="H830" s="1" t="s">
        <v>93</v>
      </c>
      <c r="I830" s="1">
        <v>8300.0</v>
      </c>
      <c r="J830" s="1"/>
      <c r="K830" s="1" t="s">
        <v>51</v>
      </c>
      <c r="L830" s="1"/>
      <c r="M830" s="1" t="s">
        <v>3662</v>
      </c>
      <c r="N830" s="1" t="s">
        <v>53</v>
      </c>
      <c r="O830" s="1" t="s">
        <v>54</v>
      </c>
      <c r="P830" s="2">
        <v>43800.0439930556</v>
      </c>
      <c r="Q830" s="1" t="s">
        <v>373</v>
      </c>
      <c r="R830" s="1"/>
      <c r="S830" s="1"/>
      <c r="T830" s="1">
        <v>1600279.0</v>
      </c>
      <c r="U830" s="1" t="s">
        <v>2778</v>
      </c>
      <c r="V830" s="1" t="s">
        <v>797</v>
      </c>
      <c r="W830" s="1" t="s">
        <v>177</v>
      </c>
      <c r="X830" s="1"/>
      <c r="Y830" s="1"/>
      <c r="Z830" s="1" t="s">
        <v>60</v>
      </c>
      <c r="AA830" s="1" t="s">
        <v>3663</v>
      </c>
      <c r="AB830" s="1" t="str">
        <f>"***213102**"</f>
        <v>***213102**</v>
      </c>
      <c r="AC830" s="1"/>
      <c r="AD830" s="1" t="s">
        <v>62</v>
      </c>
      <c r="AE830" s="1"/>
      <c r="AF830" s="1">
        <v>-51.94278</v>
      </c>
      <c r="AG830" s="1">
        <v>-1.161111</v>
      </c>
      <c r="AH830" s="1" t="s">
        <v>3664</v>
      </c>
      <c r="AI830" s="1"/>
      <c r="AJ830" s="1" t="s">
        <v>800</v>
      </c>
      <c r="AK830" s="1"/>
      <c r="AL830" s="1"/>
      <c r="AM830" s="1" t="s">
        <v>65</v>
      </c>
      <c r="AN830" s="1" t="s">
        <v>2781</v>
      </c>
      <c r="AO830" s="1"/>
      <c r="AP830" s="2">
        <v>43800.0514930556</v>
      </c>
      <c r="AQ830" s="1"/>
      <c r="AR830" s="1" t="s">
        <v>1096</v>
      </c>
      <c r="AS830" s="1"/>
      <c r="AT830" s="2">
        <v>44269.931099537</v>
      </c>
    </row>
    <row r="831" ht="13.5" customHeight="1">
      <c r="A831" s="1"/>
      <c r="B831" s="1" t="s">
        <v>46</v>
      </c>
      <c r="C831" s="1" t="s">
        <v>47</v>
      </c>
      <c r="D831" s="1"/>
      <c r="E831" s="1" t="s">
        <v>3665</v>
      </c>
      <c r="F831" s="1"/>
      <c r="G831" s="1" t="s">
        <v>49</v>
      </c>
      <c r="H831" s="1" t="s">
        <v>50</v>
      </c>
      <c r="I831" s="1">
        <v>85000.0</v>
      </c>
      <c r="J831" s="1"/>
      <c r="K831" s="1" t="s">
        <v>51</v>
      </c>
      <c r="L831" s="1"/>
      <c r="M831" s="1" t="s">
        <v>3666</v>
      </c>
      <c r="N831" s="1" t="s">
        <v>977</v>
      </c>
      <c r="O831" s="1" t="s">
        <v>978</v>
      </c>
      <c r="P831" s="2">
        <v>43799.8590046296</v>
      </c>
      <c r="Q831" s="1" t="s">
        <v>74</v>
      </c>
      <c r="R831" s="1"/>
      <c r="S831" s="1"/>
      <c r="T831" s="1">
        <v>1302603.0</v>
      </c>
      <c r="U831" s="1" t="s">
        <v>3499</v>
      </c>
      <c r="V831" s="1" t="s">
        <v>486</v>
      </c>
      <c r="W831" s="1" t="s">
        <v>177</v>
      </c>
      <c r="X831" s="1"/>
      <c r="Y831" s="1"/>
      <c r="Z831" s="1" t="s">
        <v>980</v>
      </c>
      <c r="AA831" s="1" t="s">
        <v>3667</v>
      </c>
      <c r="AB831" s="1" t="str">
        <f>"84527274000123"</f>
        <v>84527274000123</v>
      </c>
      <c r="AC831" s="1"/>
      <c r="AD831" s="1" t="s">
        <v>149</v>
      </c>
      <c r="AE831" s="1"/>
      <c r="AF831" s="1">
        <v>-60.026112</v>
      </c>
      <c r="AG831" s="1">
        <v>-3.107222</v>
      </c>
      <c r="AH831" s="1" t="s">
        <v>3668</v>
      </c>
      <c r="AI831" s="1"/>
      <c r="AJ831" s="1" t="s">
        <v>172</v>
      </c>
      <c r="AK831" s="1"/>
      <c r="AL831" s="1"/>
      <c r="AM831" s="1" t="s">
        <v>65</v>
      </c>
      <c r="AN831" s="1" t="s">
        <v>983</v>
      </c>
      <c r="AO831" s="1"/>
      <c r="AP831" s="2">
        <v>44014.8112037037</v>
      </c>
      <c r="AQ831" s="1"/>
      <c r="AR831" s="1" t="s">
        <v>229</v>
      </c>
      <c r="AS831" s="1" t="s">
        <v>3502</v>
      </c>
      <c r="AT831" s="2">
        <v>44269.931099537</v>
      </c>
    </row>
    <row r="832" ht="13.5" customHeight="1">
      <c r="A832" s="1"/>
      <c r="B832" s="1" t="s">
        <v>46</v>
      </c>
      <c r="C832" s="1" t="s">
        <v>47</v>
      </c>
      <c r="D832" s="1"/>
      <c r="E832" s="1" t="s">
        <v>3669</v>
      </c>
      <c r="F832" s="1"/>
      <c r="G832" s="1" t="s">
        <v>49</v>
      </c>
      <c r="H832" s="1" t="s">
        <v>50</v>
      </c>
      <c r="I832" s="1">
        <v>30000.0</v>
      </c>
      <c r="J832" s="1"/>
      <c r="K832" s="1" t="s">
        <v>51</v>
      </c>
      <c r="L832" s="1"/>
      <c r="M832" s="1" t="s">
        <v>3666</v>
      </c>
      <c r="N832" s="1" t="s">
        <v>977</v>
      </c>
      <c r="O832" s="1" t="s">
        <v>978</v>
      </c>
      <c r="P832" s="2">
        <v>43799.8157175926</v>
      </c>
      <c r="Q832" s="1" t="s">
        <v>74</v>
      </c>
      <c r="R832" s="1"/>
      <c r="S832" s="1"/>
      <c r="T832" s="1">
        <v>3302403.0</v>
      </c>
      <c r="U832" s="1" t="s">
        <v>1371</v>
      </c>
      <c r="V832" s="1" t="s">
        <v>287</v>
      </c>
      <c r="W832" s="1" t="s">
        <v>59</v>
      </c>
      <c r="X832" s="1"/>
      <c r="Y832" s="1"/>
      <c r="Z832" s="1" t="s">
        <v>980</v>
      </c>
      <c r="AA832" s="1" t="s">
        <v>3670</v>
      </c>
      <c r="AB832" s="1" t="str">
        <f>"19483731000163"</f>
        <v>19483731000163</v>
      </c>
      <c r="AC832" s="1"/>
      <c r="AD832" s="1" t="s">
        <v>149</v>
      </c>
      <c r="AE832" s="1"/>
      <c r="AF832" s="1">
        <v>-41.785831</v>
      </c>
      <c r="AG832" s="1">
        <v>-22.371666</v>
      </c>
      <c r="AH832" s="1" t="s">
        <v>3671</v>
      </c>
      <c r="AI832" s="1"/>
      <c r="AJ832" s="1" t="s">
        <v>172</v>
      </c>
      <c r="AK832" s="1"/>
      <c r="AL832" s="1"/>
      <c r="AM832" s="1" t="s">
        <v>65</v>
      </c>
      <c r="AN832" s="1" t="s">
        <v>983</v>
      </c>
      <c r="AO832" s="1"/>
      <c r="AP832" s="2">
        <v>44014.8113078704</v>
      </c>
      <c r="AQ832" s="1"/>
      <c r="AR832" s="1" t="s">
        <v>229</v>
      </c>
      <c r="AS832" s="1" t="s">
        <v>3502</v>
      </c>
      <c r="AT832" s="2">
        <v>44269.931099537</v>
      </c>
    </row>
    <row r="833" ht="13.5" customHeight="1">
      <c r="A833" s="1">
        <v>2042788.0</v>
      </c>
      <c r="B833" s="1" t="s">
        <v>67</v>
      </c>
      <c r="C833" s="1" t="s">
        <v>68</v>
      </c>
      <c r="D833" s="1" t="s">
        <v>46</v>
      </c>
      <c r="E833" s="1" t="s">
        <v>3672</v>
      </c>
      <c r="F833" s="1"/>
      <c r="G833" s="1" t="s">
        <v>70</v>
      </c>
      <c r="H833" s="1" t="s">
        <v>50</v>
      </c>
      <c r="I833" s="1">
        <v>205000.0</v>
      </c>
      <c r="J833" s="1"/>
      <c r="K833" s="1"/>
      <c r="L833" s="1" t="s">
        <v>3673</v>
      </c>
      <c r="M833" s="1" t="s">
        <v>3666</v>
      </c>
      <c r="N833" s="1" t="s">
        <v>283</v>
      </c>
      <c r="O833" s="1" t="s">
        <v>978</v>
      </c>
      <c r="P833" s="2">
        <v>43799.7916666667</v>
      </c>
      <c r="Q833" s="1" t="s">
        <v>74</v>
      </c>
      <c r="R833" s="3">
        <v>43860.0</v>
      </c>
      <c r="S833" s="1"/>
      <c r="T833" s="1">
        <v>3534401.0</v>
      </c>
      <c r="U833" s="1" t="s">
        <v>1459</v>
      </c>
      <c r="V833" s="1" t="s">
        <v>58</v>
      </c>
      <c r="W833" s="1" t="s">
        <v>59</v>
      </c>
      <c r="X833" s="1"/>
      <c r="Y833" s="1" t="str">
        <f>"02001034401201905"</f>
        <v>02001034401201905</v>
      </c>
      <c r="Z833" s="1" t="s">
        <v>980</v>
      </c>
      <c r="AA833" s="1" t="s">
        <v>3674</v>
      </c>
      <c r="AB833" s="1" t="str">
        <f>"62158480000170"</f>
        <v>62158480000170</v>
      </c>
      <c r="AC833" s="1"/>
      <c r="AD833" s="1" t="s">
        <v>116</v>
      </c>
      <c r="AE833" s="1"/>
      <c r="AF833" s="1">
        <v>-46.79</v>
      </c>
      <c r="AG833" s="1">
        <v>-23.531667</v>
      </c>
      <c r="AH833" s="1" t="s">
        <v>3675</v>
      </c>
      <c r="AI833" s="1"/>
      <c r="AJ833" s="1" t="s">
        <v>172</v>
      </c>
      <c r="AK833" s="1" t="s">
        <v>3620</v>
      </c>
      <c r="AL833" s="1" t="s">
        <v>79</v>
      </c>
      <c r="AM833" s="1" t="s">
        <v>65</v>
      </c>
      <c r="AN833" s="1" t="s">
        <v>983</v>
      </c>
      <c r="AO833" s="2">
        <v>44216.0</v>
      </c>
      <c r="AP833" s="2">
        <v>44216.8196527778</v>
      </c>
      <c r="AQ833" s="1" t="s">
        <v>80</v>
      </c>
      <c r="AR833" s="1" t="s">
        <v>3676</v>
      </c>
      <c r="AS833" s="1" t="s">
        <v>3502</v>
      </c>
      <c r="AT833" s="2">
        <v>44269.931099537</v>
      </c>
    </row>
    <row r="834" ht="13.5" customHeight="1">
      <c r="A834" s="1"/>
      <c r="B834" s="1" t="s">
        <v>46</v>
      </c>
      <c r="C834" s="1" t="s">
        <v>47</v>
      </c>
      <c r="D834" s="1"/>
      <c r="E834" s="1" t="s">
        <v>3677</v>
      </c>
      <c r="F834" s="1"/>
      <c r="G834" s="1" t="s">
        <v>49</v>
      </c>
      <c r="H834" s="1" t="s">
        <v>50</v>
      </c>
      <c r="I834" s="1">
        <v>15000.0</v>
      </c>
      <c r="J834" s="1"/>
      <c r="K834" s="1" t="s">
        <v>51</v>
      </c>
      <c r="L834" s="1"/>
      <c r="M834" s="1" t="s">
        <v>3666</v>
      </c>
      <c r="N834" s="1" t="s">
        <v>977</v>
      </c>
      <c r="O834" s="1" t="s">
        <v>978</v>
      </c>
      <c r="P834" s="2">
        <v>43799.7437847222</v>
      </c>
      <c r="Q834" s="1" t="s">
        <v>74</v>
      </c>
      <c r="R834" s="1"/>
      <c r="S834" s="1"/>
      <c r="T834" s="1">
        <v>3550308.0</v>
      </c>
      <c r="U834" s="1" t="s">
        <v>607</v>
      </c>
      <c r="V834" s="1" t="s">
        <v>58</v>
      </c>
      <c r="W834" s="1" t="s">
        <v>59</v>
      </c>
      <c r="X834" s="1"/>
      <c r="Y834" s="1"/>
      <c r="Z834" s="1" t="s">
        <v>980</v>
      </c>
      <c r="AA834" s="1" t="s">
        <v>3678</v>
      </c>
      <c r="AB834" s="1" t="str">
        <f>"50676113000180"</f>
        <v>50676113000180</v>
      </c>
      <c r="AC834" s="1"/>
      <c r="AD834" s="1" t="s">
        <v>149</v>
      </c>
      <c r="AE834" s="1"/>
      <c r="AF834" s="1">
        <v>-46.638889</v>
      </c>
      <c r="AG834" s="1">
        <v>-23.548889</v>
      </c>
      <c r="AH834" s="1" t="s">
        <v>3679</v>
      </c>
      <c r="AI834" s="1"/>
      <c r="AJ834" s="1" t="s">
        <v>172</v>
      </c>
      <c r="AK834" s="1"/>
      <c r="AL834" s="1"/>
      <c r="AM834" s="1" t="s">
        <v>65</v>
      </c>
      <c r="AN834" s="1" t="s">
        <v>983</v>
      </c>
      <c r="AO834" s="1"/>
      <c r="AP834" s="2">
        <v>44014.8114930556</v>
      </c>
      <c r="AQ834" s="1"/>
      <c r="AR834" s="1" t="s">
        <v>229</v>
      </c>
      <c r="AS834" s="1" t="s">
        <v>3502</v>
      </c>
      <c r="AT834" s="2">
        <v>44269.931099537</v>
      </c>
    </row>
    <row r="835" ht="13.5" customHeight="1">
      <c r="A835" s="1">
        <v>2044006.0</v>
      </c>
      <c r="B835" s="1" t="s">
        <v>67</v>
      </c>
      <c r="C835" s="1" t="s">
        <v>68</v>
      </c>
      <c r="D835" s="1" t="s">
        <v>46</v>
      </c>
      <c r="E835" s="1" t="s">
        <v>3680</v>
      </c>
      <c r="F835" s="1"/>
      <c r="G835" s="1" t="s">
        <v>70</v>
      </c>
      <c r="H835" s="1" t="s">
        <v>50</v>
      </c>
      <c r="I835" s="1">
        <v>55000.0</v>
      </c>
      <c r="J835" s="1"/>
      <c r="K835" s="1"/>
      <c r="L835" s="1" t="s">
        <v>65</v>
      </c>
      <c r="M835" s="1" t="s">
        <v>3666</v>
      </c>
      <c r="N835" s="1" t="s">
        <v>283</v>
      </c>
      <c r="O835" s="1" t="s">
        <v>978</v>
      </c>
      <c r="P835" s="2">
        <v>43799.7083333333</v>
      </c>
      <c r="Q835" s="1" t="s">
        <v>74</v>
      </c>
      <c r="R835" s="1"/>
      <c r="S835" s="1"/>
      <c r="T835" s="1">
        <v>3538709.0</v>
      </c>
      <c r="U835" s="1" t="s">
        <v>2877</v>
      </c>
      <c r="V835" s="1" t="s">
        <v>58</v>
      </c>
      <c r="W835" s="1" t="s">
        <v>59</v>
      </c>
      <c r="X835" s="1"/>
      <c r="Y835" s="1" t="str">
        <f>"02001034404201931"</f>
        <v>02001034404201931</v>
      </c>
      <c r="Z835" s="1" t="s">
        <v>980</v>
      </c>
      <c r="AA835" s="1" t="s">
        <v>2878</v>
      </c>
      <c r="AB835" s="1" t="str">
        <f>"61064911000177"</f>
        <v>61064911000177</v>
      </c>
      <c r="AC835" s="1"/>
      <c r="AD835" s="1" t="s">
        <v>116</v>
      </c>
      <c r="AE835" s="1"/>
      <c r="AF835" s="1">
        <v>-47.6475</v>
      </c>
      <c r="AG835" s="1">
        <v>-22.725</v>
      </c>
      <c r="AH835" s="1" t="s">
        <v>3681</v>
      </c>
      <c r="AI835" s="1"/>
      <c r="AJ835" s="1" t="s">
        <v>172</v>
      </c>
      <c r="AK835" s="1" t="s">
        <v>3682</v>
      </c>
      <c r="AL835" s="1" t="s">
        <v>79</v>
      </c>
      <c r="AM835" s="1" t="s">
        <v>65</v>
      </c>
      <c r="AN835" s="1" t="s">
        <v>983</v>
      </c>
      <c r="AO835" s="2">
        <v>44259.0</v>
      </c>
      <c r="AP835" s="2">
        <v>44259.3805671296</v>
      </c>
      <c r="AQ835" s="1" t="s">
        <v>80</v>
      </c>
      <c r="AR835" s="1" t="s">
        <v>3683</v>
      </c>
      <c r="AS835" s="1" t="s">
        <v>3502</v>
      </c>
      <c r="AT835" s="2">
        <v>44269.931099537</v>
      </c>
    </row>
    <row r="836" ht="13.5" customHeight="1">
      <c r="A836" s="1"/>
      <c r="B836" s="1" t="s">
        <v>46</v>
      </c>
      <c r="C836" s="1" t="s">
        <v>47</v>
      </c>
      <c r="D836" s="1"/>
      <c r="E836" s="1" t="s">
        <v>3684</v>
      </c>
      <c r="F836" s="1"/>
      <c r="G836" s="1" t="s">
        <v>49</v>
      </c>
      <c r="H836" s="1" t="s">
        <v>93</v>
      </c>
      <c r="I836" s="1">
        <v>15000.0</v>
      </c>
      <c r="J836" s="1"/>
      <c r="K836" s="1"/>
      <c r="L836" s="1"/>
      <c r="M836" s="1" t="s">
        <v>3685</v>
      </c>
      <c r="N836" s="1" t="s">
        <v>95</v>
      </c>
      <c r="O836" s="1" t="s">
        <v>96</v>
      </c>
      <c r="P836" s="2">
        <v>43799.6900231482</v>
      </c>
      <c r="Q836" s="1" t="s">
        <v>373</v>
      </c>
      <c r="R836" s="1"/>
      <c r="S836" s="1"/>
      <c r="T836" s="1">
        <v>1302603.0</v>
      </c>
      <c r="U836" s="1" t="s">
        <v>3499</v>
      </c>
      <c r="V836" s="1" t="s">
        <v>486</v>
      </c>
      <c r="W836" s="1" t="s">
        <v>177</v>
      </c>
      <c r="X836" s="1"/>
      <c r="Y836" s="1"/>
      <c r="Z836" s="1" t="s">
        <v>98</v>
      </c>
      <c r="AA836" s="1" t="s">
        <v>3686</v>
      </c>
      <c r="AB836" s="1"/>
      <c r="AC836" s="1"/>
      <c r="AD836" s="1" t="s">
        <v>62</v>
      </c>
      <c r="AE836" s="1"/>
      <c r="AF836" s="1">
        <v>-59.999443</v>
      </c>
      <c r="AG836" s="1">
        <v>-3.222778</v>
      </c>
      <c r="AH836" s="1" t="s">
        <v>3687</v>
      </c>
      <c r="AI836" s="1"/>
      <c r="AJ836" s="1" t="s">
        <v>172</v>
      </c>
      <c r="AK836" s="1"/>
      <c r="AL836" s="1"/>
      <c r="AM836" s="1" t="s">
        <v>65</v>
      </c>
      <c r="AN836" s="1" t="s">
        <v>3688</v>
      </c>
      <c r="AO836" s="1"/>
      <c r="AP836" s="2">
        <v>43799.7839236111</v>
      </c>
      <c r="AQ836" s="1"/>
      <c r="AR836" s="1" t="s">
        <v>3689</v>
      </c>
      <c r="AS836" s="1"/>
      <c r="AT836" s="2">
        <v>44269.931099537</v>
      </c>
    </row>
    <row r="837" ht="13.5" customHeight="1">
      <c r="A837" s="1"/>
      <c r="B837" s="1" t="s">
        <v>46</v>
      </c>
      <c r="C837" s="1" t="s">
        <v>47</v>
      </c>
      <c r="D837" s="1"/>
      <c r="E837" s="1" t="s">
        <v>3690</v>
      </c>
      <c r="F837" s="1"/>
      <c r="G837" s="1" t="s">
        <v>49</v>
      </c>
      <c r="H837" s="1" t="s">
        <v>50</v>
      </c>
      <c r="I837" s="1">
        <v>805000.0</v>
      </c>
      <c r="J837" s="1"/>
      <c r="K837" s="1" t="s">
        <v>51</v>
      </c>
      <c r="L837" s="1"/>
      <c r="M837" s="1" t="s">
        <v>3666</v>
      </c>
      <c r="N837" s="1" t="s">
        <v>977</v>
      </c>
      <c r="O837" s="1" t="s">
        <v>978</v>
      </c>
      <c r="P837" s="2">
        <v>43799.6557060185</v>
      </c>
      <c r="Q837" s="1" t="s">
        <v>74</v>
      </c>
      <c r="R837" s="1"/>
      <c r="S837" s="1"/>
      <c r="T837" s="1">
        <v>3304557.0</v>
      </c>
      <c r="U837" s="1" t="s">
        <v>286</v>
      </c>
      <c r="V837" s="1" t="s">
        <v>287</v>
      </c>
      <c r="W837" s="1" t="s">
        <v>59</v>
      </c>
      <c r="X837" s="1"/>
      <c r="Y837" s="1"/>
      <c r="Z837" s="1" t="s">
        <v>980</v>
      </c>
      <c r="AA837" s="1" t="s">
        <v>3691</v>
      </c>
      <c r="AB837" s="1" t="str">
        <f>"33194978000190"</f>
        <v>33194978000190</v>
      </c>
      <c r="AC837" s="1"/>
      <c r="AD837" s="1" t="s">
        <v>149</v>
      </c>
      <c r="AE837" s="1"/>
      <c r="AF837" s="1">
        <v>-43.209724</v>
      </c>
      <c r="AG837" s="1">
        <v>-22.90361</v>
      </c>
      <c r="AH837" s="1" t="s">
        <v>3692</v>
      </c>
      <c r="AI837" s="1"/>
      <c r="AJ837" s="1" t="s">
        <v>172</v>
      </c>
      <c r="AK837" s="1"/>
      <c r="AL837" s="1"/>
      <c r="AM837" s="1" t="s">
        <v>65</v>
      </c>
      <c r="AN837" s="1" t="s">
        <v>983</v>
      </c>
      <c r="AO837" s="1"/>
      <c r="AP837" s="2">
        <v>44014.8116666667</v>
      </c>
      <c r="AQ837" s="1"/>
      <c r="AR837" s="1" t="s">
        <v>229</v>
      </c>
      <c r="AS837" s="1" t="s">
        <v>3693</v>
      </c>
      <c r="AT837" s="2">
        <v>44269.931099537</v>
      </c>
    </row>
    <row r="838" ht="13.5" customHeight="1">
      <c r="A838" s="1"/>
      <c r="B838" s="1" t="s">
        <v>46</v>
      </c>
      <c r="C838" s="1" t="s">
        <v>47</v>
      </c>
      <c r="D838" s="1"/>
      <c r="E838" s="1" t="s">
        <v>3694</v>
      </c>
      <c r="F838" s="1"/>
      <c r="G838" s="1" t="s">
        <v>49</v>
      </c>
      <c r="H838" s="1" t="s">
        <v>93</v>
      </c>
      <c r="I838" s="1">
        <v>5000.0</v>
      </c>
      <c r="J838" s="1"/>
      <c r="K838" s="1"/>
      <c r="L838" s="1"/>
      <c r="M838" s="1" t="s">
        <v>3695</v>
      </c>
      <c r="N838" s="1" t="s">
        <v>95</v>
      </c>
      <c r="O838" s="1" t="s">
        <v>96</v>
      </c>
      <c r="P838" s="2">
        <v>43799.6500694444</v>
      </c>
      <c r="Q838" s="1" t="s">
        <v>373</v>
      </c>
      <c r="R838" s="1"/>
      <c r="S838" s="1"/>
      <c r="T838" s="1">
        <v>1302603.0</v>
      </c>
      <c r="U838" s="1" t="s">
        <v>3499</v>
      </c>
      <c r="V838" s="1" t="s">
        <v>486</v>
      </c>
      <c r="W838" s="1" t="s">
        <v>177</v>
      </c>
      <c r="X838" s="1"/>
      <c r="Y838" s="1"/>
      <c r="Z838" s="1" t="s">
        <v>98</v>
      </c>
      <c r="AA838" s="1" t="s">
        <v>3696</v>
      </c>
      <c r="AB838" s="1"/>
      <c r="AC838" s="1"/>
      <c r="AD838" s="1" t="s">
        <v>62</v>
      </c>
      <c r="AE838" s="1"/>
      <c r="AF838" s="1">
        <v>-59.996666</v>
      </c>
      <c r="AG838" s="1">
        <v>-3.214167</v>
      </c>
      <c r="AH838" s="1" t="s">
        <v>3697</v>
      </c>
      <c r="AI838" s="1"/>
      <c r="AJ838" s="1" t="s">
        <v>172</v>
      </c>
      <c r="AK838" s="1"/>
      <c r="AL838" s="1"/>
      <c r="AM838" s="1" t="s">
        <v>65</v>
      </c>
      <c r="AN838" s="1" t="s">
        <v>3688</v>
      </c>
      <c r="AO838" s="1"/>
      <c r="AP838" s="2">
        <v>43799.6568981481</v>
      </c>
      <c r="AQ838" s="1"/>
      <c r="AR838" s="1" t="s">
        <v>3689</v>
      </c>
      <c r="AS838" s="1"/>
      <c r="AT838" s="2">
        <v>44269.931099537</v>
      </c>
    </row>
    <row r="839" ht="13.5" customHeight="1">
      <c r="A839" s="1"/>
      <c r="B839" s="1" t="s">
        <v>46</v>
      </c>
      <c r="C839" s="1" t="s">
        <v>47</v>
      </c>
      <c r="D839" s="1"/>
      <c r="E839" s="1" t="s">
        <v>3698</v>
      </c>
      <c r="F839" s="1"/>
      <c r="G839" s="1" t="s">
        <v>49</v>
      </c>
      <c r="H839" s="1" t="s">
        <v>93</v>
      </c>
      <c r="I839" s="1">
        <v>100560.0</v>
      </c>
      <c r="J839" s="1"/>
      <c r="K839" s="1"/>
      <c r="L839" s="1"/>
      <c r="M839" s="1" t="s">
        <v>3699</v>
      </c>
      <c r="N839" s="1" t="s">
        <v>142</v>
      </c>
      <c r="O839" s="1" t="s">
        <v>143</v>
      </c>
      <c r="P839" s="2">
        <v>43799.6487731482</v>
      </c>
      <c r="Q839" s="1" t="s">
        <v>373</v>
      </c>
      <c r="R839" s="1"/>
      <c r="S839" s="1"/>
      <c r="T839" s="1">
        <v>1100346.0</v>
      </c>
      <c r="U839" s="1" t="s">
        <v>2529</v>
      </c>
      <c r="V839" s="1" t="s">
        <v>448</v>
      </c>
      <c r="W839" s="1" t="s">
        <v>177</v>
      </c>
      <c r="X839" s="1"/>
      <c r="Y839" s="1"/>
      <c r="Z839" s="1" t="s">
        <v>147</v>
      </c>
      <c r="AA839" s="1" t="s">
        <v>3700</v>
      </c>
      <c r="AB839" s="1" t="str">
        <f>"***799329**"</f>
        <v>***799329**</v>
      </c>
      <c r="AC839" s="1"/>
      <c r="AD839" s="1" t="s">
        <v>116</v>
      </c>
      <c r="AE839" s="1"/>
      <c r="AF839" s="1">
        <v>-62.460835</v>
      </c>
      <c r="AG839" s="1">
        <v>-11.51</v>
      </c>
      <c r="AH839" s="1" t="s">
        <v>3701</v>
      </c>
      <c r="AI839" s="1"/>
      <c r="AJ839" s="1" t="s">
        <v>172</v>
      </c>
      <c r="AK839" s="1"/>
      <c r="AL839" s="1"/>
      <c r="AM839" s="1" t="s">
        <v>65</v>
      </c>
      <c r="AN839" s="1" t="s">
        <v>1395</v>
      </c>
      <c r="AO839" s="1"/>
      <c r="AP839" s="2">
        <v>43799.6692708333</v>
      </c>
      <c r="AQ839" s="1"/>
      <c r="AR839" s="1" t="s">
        <v>644</v>
      </c>
      <c r="AS839" s="1" t="s">
        <v>3702</v>
      </c>
      <c r="AT839" s="2">
        <v>44269.931099537</v>
      </c>
    </row>
    <row r="840" ht="13.5" customHeight="1">
      <c r="A840" s="1">
        <v>2035759.0</v>
      </c>
      <c r="B840" s="1" t="s">
        <v>67</v>
      </c>
      <c r="C840" s="1" t="s">
        <v>68</v>
      </c>
      <c r="D840" s="1" t="s">
        <v>46</v>
      </c>
      <c r="E840" s="1" t="s">
        <v>3703</v>
      </c>
      <c r="F840" s="1"/>
      <c r="G840" s="1" t="s">
        <v>70</v>
      </c>
      <c r="H840" s="1" t="s">
        <v>50</v>
      </c>
      <c r="I840" s="1">
        <v>6500.0</v>
      </c>
      <c r="J840" s="1"/>
      <c r="K840" s="1"/>
      <c r="L840" s="1" t="s">
        <v>172</v>
      </c>
      <c r="M840" s="1" t="s">
        <v>3704</v>
      </c>
      <c r="N840" s="1" t="s">
        <v>72</v>
      </c>
      <c r="O840" s="1" t="s">
        <v>73</v>
      </c>
      <c r="P840" s="2">
        <v>43799.625</v>
      </c>
      <c r="Q840" s="1" t="s">
        <v>373</v>
      </c>
      <c r="R840" s="3">
        <v>43799.0</v>
      </c>
      <c r="S840" s="1"/>
      <c r="T840" s="1">
        <v>1400100.0</v>
      </c>
      <c r="U840" s="1" t="s">
        <v>185</v>
      </c>
      <c r="V840" s="1" t="s">
        <v>186</v>
      </c>
      <c r="W840" s="1" t="s">
        <v>177</v>
      </c>
      <c r="X840" s="1"/>
      <c r="Y840" s="1" t="str">
        <f>"02001008609202002"</f>
        <v>02001008609202002</v>
      </c>
      <c r="Z840" s="1" t="s">
        <v>76</v>
      </c>
      <c r="AA840" s="1" t="s">
        <v>3705</v>
      </c>
      <c r="AB840" s="1" t="str">
        <f>"***842592**"</f>
        <v>***842592**</v>
      </c>
      <c r="AC840" s="1"/>
      <c r="AD840" s="1"/>
      <c r="AE840" s="1"/>
      <c r="AF840" s="1">
        <v>-60.69278</v>
      </c>
      <c r="AG840" s="1">
        <v>2.801944</v>
      </c>
      <c r="AH840" s="1" t="s">
        <v>3706</v>
      </c>
      <c r="AI840" s="1"/>
      <c r="AJ840" s="1" t="s">
        <v>172</v>
      </c>
      <c r="AK840" s="1"/>
      <c r="AL840" s="1" t="s">
        <v>79</v>
      </c>
      <c r="AM840" s="1" t="s">
        <v>65</v>
      </c>
      <c r="AN840" s="1" t="s">
        <v>180</v>
      </c>
      <c r="AO840" s="2">
        <v>43916.0</v>
      </c>
      <c r="AP840" s="2">
        <v>43916.7120833333</v>
      </c>
      <c r="AQ840" s="1" t="s">
        <v>80</v>
      </c>
      <c r="AR840" s="1" t="s">
        <v>188</v>
      </c>
      <c r="AS840" s="1"/>
      <c r="AT840" s="2">
        <v>44269.931099537</v>
      </c>
    </row>
    <row r="841" ht="13.5" customHeight="1">
      <c r="A841" s="1"/>
      <c r="B841" s="1" t="s">
        <v>46</v>
      </c>
      <c r="C841" s="1" t="s">
        <v>47</v>
      </c>
      <c r="D841" s="1"/>
      <c r="E841" s="1" t="s">
        <v>3707</v>
      </c>
      <c r="F841" s="1"/>
      <c r="G841" s="1" t="s">
        <v>49</v>
      </c>
      <c r="H841" s="1" t="s">
        <v>93</v>
      </c>
      <c r="I841" s="1">
        <v>7378.5</v>
      </c>
      <c r="J841" s="1"/>
      <c r="K841" s="1"/>
      <c r="L841" s="1"/>
      <c r="M841" s="1" t="s">
        <v>3708</v>
      </c>
      <c r="N841" s="1" t="s">
        <v>142</v>
      </c>
      <c r="O841" s="1" t="s">
        <v>143</v>
      </c>
      <c r="P841" s="2">
        <v>43799.6157175926</v>
      </c>
      <c r="Q841" s="1" t="s">
        <v>74</v>
      </c>
      <c r="R841" s="3">
        <v>43799.0</v>
      </c>
      <c r="S841" s="1"/>
      <c r="T841" s="1">
        <v>5218003.0</v>
      </c>
      <c r="U841" s="1" t="s">
        <v>3709</v>
      </c>
      <c r="V841" s="1" t="s">
        <v>375</v>
      </c>
      <c r="W841" s="1" t="s">
        <v>177</v>
      </c>
      <c r="X841" s="1"/>
      <c r="Y841" s="1"/>
      <c r="Z841" s="1" t="s">
        <v>147</v>
      </c>
      <c r="AA841" s="1" t="s">
        <v>3710</v>
      </c>
      <c r="AB841" s="1" t="str">
        <f>"***476911**"</f>
        <v>***476911**</v>
      </c>
      <c r="AC841" s="1"/>
      <c r="AD841" s="1" t="s">
        <v>149</v>
      </c>
      <c r="AE841" s="1"/>
      <c r="AF841" s="1">
        <v>-49.131386</v>
      </c>
      <c r="AG841" s="1">
        <v>-13.406388</v>
      </c>
      <c r="AH841" s="1" t="s">
        <v>3711</v>
      </c>
      <c r="AI841" s="1"/>
      <c r="AJ841" s="1" t="s">
        <v>371</v>
      </c>
      <c r="AK841" s="1"/>
      <c r="AL841" s="1"/>
      <c r="AM841" s="1" t="s">
        <v>65</v>
      </c>
      <c r="AN841" s="1" t="s">
        <v>3712</v>
      </c>
      <c r="AO841" s="1"/>
      <c r="AP841" s="2">
        <v>43799.6210648148</v>
      </c>
      <c r="AQ841" s="1"/>
      <c r="AR841" s="1" t="s">
        <v>613</v>
      </c>
      <c r="AS841" s="1"/>
      <c r="AT841" s="2">
        <v>44269.931099537</v>
      </c>
    </row>
    <row r="842" ht="13.5" customHeight="1">
      <c r="A842" s="1"/>
      <c r="B842" s="1" t="s">
        <v>46</v>
      </c>
      <c r="C842" s="1" t="s">
        <v>47</v>
      </c>
      <c r="D842" s="1"/>
      <c r="E842" s="1" t="s">
        <v>3713</v>
      </c>
      <c r="F842" s="1"/>
      <c r="G842" s="1" t="s">
        <v>49</v>
      </c>
      <c r="H842" s="1" t="s">
        <v>93</v>
      </c>
      <c r="I842" s="1">
        <v>5000.0</v>
      </c>
      <c r="J842" s="1"/>
      <c r="K842" s="1"/>
      <c r="L842" s="1"/>
      <c r="M842" s="1" t="s">
        <v>3714</v>
      </c>
      <c r="N842" s="1" t="s">
        <v>142</v>
      </c>
      <c r="O842" s="1" t="s">
        <v>143</v>
      </c>
      <c r="P842" s="2">
        <v>43799.6134606482</v>
      </c>
      <c r="Q842" s="1" t="s">
        <v>74</v>
      </c>
      <c r="R842" s="1"/>
      <c r="S842" s="1"/>
      <c r="T842" s="1">
        <v>1100080.0</v>
      </c>
      <c r="U842" s="1" t="s">
        <v>1392</v>
      </c>
      <c r="V842" s="1" t="s">
        <v>448</v>
      </c>
      <c r="W842" s="1" t="s">
        <v>177</v>
      </c>
      <c r="X842" s="1"/>
      <c r="Y842" s="1"/>
      <c r="Z842" s="1" t="s">
        <v>147</v>
      </c>
      <c r="AA842" s="1" t="s">
        <v>3715</v>
      </c>
      <c r="AB842" s="1" t="str">
        <f>"***838212**"</f>
        <v>***838212**</v>
      </c>
      <c r="AC842" s="1"/>
      <c r="AD842" s="1" t="s">
        <v>116</v>
      </c>
      <c r="AE842" s="1"/>
      <c r="AF842" s="1">
        <v>-64.020836</v>
      </c>
      <c r="AG842" s="1">
        <v>-12.023334</v>
      </c>
      <c r="AH842" s="1" t="s">
        <v>3716</v>
      </c>
      <c r="AI842" s="1"/>
      <c r="AJ842" s="1" t="s">
        <v>172</v>
      </c>
      <c r="AK842" s="1"/>
      <c r="AL842" s="1"/>
      <c r="AM842" s="1" t="s">
        <v>65</v>
      </c>
      <c r="AN842" s="1" t="s">
        <v>1395</v>
      </c>
      <c r="AO842" s="1"/>
      <c r="AP842" s="2">
        <v>43799.6199537037</v>
      </c>
      <c r="AQ842" s="1"/>
      <c r="AR842" s="1" t="s">
        <v>793</v>
      </c>
      <c r="AS842" s="1"/>
      <c r="AT842" s="2">
        <v>44269.931099537</v>
      </c>
    </row>
    <row r="843" ht="13.5" customHeight="1">
      <c r="A843" s="1"/>
      <c r="B843" s="1" t="s">
        <v>46</v>
      </c>
      <c r="C843" s="1" t="s">
        <v>47</v>
      </c>
      <c r="D843" s="1"/>
      <c r="E843" s="1" t="s">
        <v>3717</v>
      </c>
      <c r="F843" s="1"/>
      <c r="G843" s="1" t="s">
        <v>49</v>
      </c>
      <c r="H843" s="1" t="s">
        <v>93</v>
      </c>
      <c r="I843" s="1">
        <v>9233.3</v>
      </c>
      <c r="J843" s="1"/>
      <c r="K843" s="1"/>
      <c r="L843" s="1"/>
      <c r="M843" s="1" t="s">
        <v>3718</v>
      </c>
      <c r="N843" s="1" t="s">
        <v>142</v>
      </c>
      <c r="O843" s="1" t="s">
        <v>143</v>
      </c>
      <c r="P843" s="2">
        <v>43799.6000694445</v>
      </c>
      <c r="Q843" s="1" t="s">
        <v>74</v>
      </c>
      <c r="R843" s="3">
        <v>43799.0</v>
      </c>
      <c r="S843" s="1"/>
      <c r="T843" s="1">
        <v>5218003.0</v>
      </c>
      <c r="U843" s="1" t="s">
        <v>3709</v>
      </c>
      <c r="V843" s="1" t="s">
        <v>375</v>
      </c>
      <c r="W843" s="1" t="s">
        <v>177</v>
      </c>
      <c r="X843" s="1"/>
      <c r="Y843" s="1"/>
      <c r="Z843" s="1" t="s">
        <v>147</v>
      </c>
      <c r="AA843" s="1" t="s">
        <v>3710</v>
      </c>
      <c r="AB843" s="1" t="str">
        <f>"***476911**"</f>
        <v>***476911**</v>
      </c>
      <c r="AC843" s="1"/>
      <c r="AD843" s="1" t="s">
        <v>149</v>
      </c>
      <c r="AE843" s="1"/>
      <c r="AF843" s="1">
        <v>-49.131386</v>
      </c>
      <c r="AG843" s="1">
        <v>-13.406388</v>
      </c>
      <c r="AH843" s="1" t="s">
        <v>3711</v>
      </c>
      <c r="AI843" s="1"/>
      <c r="AJ843" s="1" t="s">
        <v>371</v>
      </c>
      <c r="AK843" s="1"/>
      <c r="AL843" s="1"/>
      <c r="AM843" s="1" t="s">
        <v>65</v>
      </c>
      <c r="AN843" s="1" t="s">
        <v>3712</v>
      </c>
      <c r="AO843" s="1"/>
      <c r="AP843" s="2">
        <v>43799.6071643519</v>
      </c>
      <c r="AQ843" s="1"/>
      <c r="AR843" s="1" t="s">
        <v>613</v>
      </c>
      <c r="AS843" s="1"/>
      <c r="AT843" s="2">
        <v>44269.931099537</v>
      </c>
    </row>
    <row r="844" ht="13.5" customHeight="1">
      <c r="A844" s="1"/>
      <c r="B844" s="1" t="s">
        <v>46</v>
      </c>
      <c r="C844" s="1" t="s">
        <v>47</v>
      </c>
      <c r="D844" s="1"/>
      <c r="E844" s="1" t="s">
        <v>3719</v>
      </c>
      <c r="F844" s="1"/>
      <c r="G844" s="1" t="s">
        <v>49</v>
      </c>
      <c r="H844" s="1" t="s">
        <v>50</v>
      </c>
      <c r="I844" s="1">
        <v>100000.0</v>
      </c>
      <c r="J844" s="1"/>
      <c r="K844" s="1" t="s">
        <v>140</v>
      </c>
      <c r="L844" s="1"/>
      <c r="M844" s="1" t="s">
        <v>3720</v>
      </c>
      <c r="N844" s="1" t="s">
        <v>142</v>
      </c>
      <c r="O844" s="1" t="s">
        <v>143</v>
      </c>
      <c r="P844" s="2">
        <v>43799.5986921296</v>
      </c>
      <c r="Q844" s="1" t="s">
        <v>74</v>
      </c>
      <c r="R844" s="1"/>
      <c r="S844" s="1"/>
      <c r="T844" s="1">
        <v>1100320.0</v>
      </c>
      <c r="U844" s="1" t="s">
        <v>1851</v>
      </c>
      <c r="V844" s="1" t="s">
        <v>448</v>
      </c>
      <c r="W844" s="1" t="s">
        <v>177</v>
      </c>
      <c r="X844" s="1"/>
      <c r="Y844" s="1"/>
      <c r="Z844" s="1" t="s">
        <v>147</v>
      </c>
      <c r="AA844" s="1" t="s">
        <v>3721</v>
      </c>
      <c r="AB844" s="1" t="str">
        <f>"***821281**"</f>
        <v>***821281**</v>
      </c>
      <c r="AC844" s="1"/>
      <c r="AD844" s="1" t="s">
        <v>116</v>
      </c>
      <c r="AE844" s="1"/>
      <c r="AF844" s="1">
        <v>-63.919167</v>
      </c>
      <c r="AG844" s="1">
        <v>-11.850834</v>
      </c>
      <c r="AH844" s="1" t="s">
        <v>3016</v>
      </c>
      <c r="AI844" s="1"/>
      <c r="AJ844" s="1" t="s">
        <v>172</v>
      </c>
      <c r="AK844" s="1"/>
      <c r="AL844" s="1"/>
      <c r="AM844" s="1" t="s">
        <v>65</v>
      </c>
      <c r="AN844" s="1" t="s">
        <v>1395</v>
      </c>
      <c r="AO844" s="1"/>
      <c r="AP844" s="2">
        <v>44057.5873611111</v>
      </c>
      <c r="AQ844" s="1"/>
      <c r="AR844" s="1" t="s">
        <v>793</v>
      </c>
      <c r="AS844" s="1"/>
      <c r="AT844" s="2">
        <v>44269.931099537</v>
      </c>
    </row>
    <row r="845" ht="13.5" customHeight="1">
      <c r="A845" s="1"/>
      <c r="B845" s="1" t="s">
        <v>46</v>
      </c>
      <c r="C845" s="1" t="s">
        <v>47</v>
      </c>
      <c r="D845" s="1"/>
      <c r="E845" s="1" t="s">
        <v>3722</v>
      </c>
      <c r="F845" s="1"/>
      <c r="G845" s="1" t="s">
        <v>49</v>
      </c>
      <c r="H845" s="1" t="s">
        <v>50</v>
      </c>
      <c r="I845" s="1">
        <v>25000.0</v>
      </c>
      <c r="J845" s="1"/>
      <c r="K845" s="1" t="s">
        <v>51</v>
      </c>
      <c r="L845" s="1"/>
      <c r="M845" s="1" t="s">
        <v>3666</v>
      </c>
      <c r="N845" s="1" t="s">
        <v>977</v>
      </c>
      <c r="O845" s="1" t="s">
        <v>978</v>
      </c>
      <c r="P845" s="2">
        <v>43799.5934490741</v>
      </c>
      <c r="Q845" s="1" t="s">
        <v>74</v>
      </c>
      <c r="R845" s="1"/>
      <c r="S845" s="1"/>
      <c r="T845" s="1">
        <v>4305108.0</v>
      </c>
      <c r="U845" s="1" t="s">
        <v>3076</v>
      </c>
      <c r="V845" s="1" t="s">
        <v>145</v>
      </c>
      <c r="W845" s="1" t="s">
        <v>59</v>
      </c>
      <c r="X845" s="1"/>
      <c r="Y845" s="1"/>
      <c r="Z845" s="1" t="s">
        <v>980</v>
      </c>
      <c r="AA845" s="1" t="s">
        <v>3723</v>
      </c>
      <c r="AB845" s="1" t="str">
        <f>"17828384000138"</f>
        <v>17828384000138</v>
      </c>
      <c r="AC845" s="1"/>
      <c r="AD845" s="1" t="s">
        <v>149</v>
      </c>
      <c r="AE845" s="1"/>
      <c r="AF845" s="1">
        <v>-51.179447</v>
      </c>
      <c r="AG845" s="1">
        <v>-29.167778</v>
      </c>
      <c r="AH845" s="1" t="s">
        <v>3724</v>
      </c>
      <c r="AI845" s="1"/>
      <c r="AJ845" s="1" t="s">
        <v>172</v>
      </c>
      <c r="AK845" s="1"/>
      <c r="AL845" s="1"/>
      <c r="AM845" s="1" t="s">
        <v>65</v>
      </c>
      <c r="AN845" s="1" t="s">
        <v>983</v>
      </c>
      <c r="AO845" s="1"/>
      <c r="AP845" s="2">
        <v>44014.8117708333</v>
      </c>
      <c r="AQ845" s="1"/>
      <c r="AR845" s="1" t="s">
        <v>229</v>
      </c>
      <c r="AS845" s="1" t="s">
        <v>3725</v>
      </c>
      <c r="AT845" s="2">
        <v>44269.931099537</v>
      </c>
    </row>
    <row r="846" ht="13.5" customHeight="1">
      <c r="A846" s="1"/>
      <c r="B846" s="1" t="s">
        <v>46</v>
      </c>
      <c r="C846" s="1" t="s">
        <v>47</v>
      </c>
      <c r="D846" s="1"/>
      <c r="E846" s="1" t="s">
        <v>3726</v>
      </c>
      <c r="F846" s="1"/>
      <c r="G846" s="1" t="s">
        <v>49</v>
      </c>
      <c r="H846" s="1" t="s">
        <v>93</v>
      </c>
      <c r="I846" s="1">
        <v>349000.0</v>
      </c>
      <c r="J846" s="1"/>
      <c r="K846" s="1" t="s">
        <v>51</v>
      </c>
      <c r="L846" s="1"/>
      <c r="M846" s="1" t="s">
        <v>3727</v>
      </c>
      <c r="N846" s="1" t="s">
        <v>142</v>
      </c>
      <c r="O846" s="1" t="s">
        <v>143</v>
      </c>
      <c r="P846" s="2">
        <v>43799.5905092593</v>
      </c>
      <c r="Q846" s="1" t="s">
        <v>74</v>
      </c>
      <c r="R846" s="1"/>
      <c r="S846" s="1"/>
      <c r="T846" s="1">
        <v>1100080.0</v>
      </c>
      <c r="U846" s="1" t="s">
        <v>1392</v>
      </c>
      <c r="V846" s="1" t="s">
        <v>448</v>
      </c>
      <c r="W846" s="1" t="s">
        <v>177</v>
      </c>
      <c r="X846" s="1"/>
      <c r="Y846" s="1"/>
      <c r="Z846" s="1" t="s">
        <v>147</v>
      </c>
      <c r="AA846" s="1" t="s">
        <v>3721</v>
      </c>
      <c r="AB846" s="1" t="str">
        <f>"***821281**"</f>
        <v>***821281**</v>
      </c>
      <c r="AC846" s="1"/>
      <c r="AD846" s="1" t="s">
        <v>149</v>
      </c>
      <c r="AE846" s="1"/>
      <c r="AF846" s="1">
        <v>-63.979446</v>
      </c>
      <c r="AG846" s="1">
        <v>-11.901944</v>
      </c>
      <c r="AH846" s="1" t="s">
        <v>3728</v>
      </c>
      <c r="AI846" s="1"/>
      <c r="AJ846" s="1" t="s">
        <v>172</v>
      </c>
      <c r="AK846" s="1"/>
      <c r="AL846" s="1"/>
      <c r="AM846" s="1" t="s">
        <v>65</v>
      </c>
      <c r="AN846" s="1" t="s">
        <v>1395</v>
      </c>
      <c r="AO846" s="1"/>
      <c r="AP846" s="2">
        <v>43799.6016087963</v>
      </c>
      <c r="AQ846" s="1"/>
      <c r="AR846" s="1" t="s">
        <v>793</v>
      </c>
      <c r="AS846" s="1"/>
      <c r="AT846" s="2">
        <v>44269.931099537</v>
      </c>
    </row>
    <row r="847" ht="13.5" customHeight="1">
      <c r="A847" s="1">
        <v>2037973.0</v>
      </c>
      <c r="B847" s="1" t="s">
        <v>67</v>
      </c>
      <c r="C847" s="1" t="s">
        <v>68</v>
      </c>
      <c r="D847" s="1" t="s">
        <v>46</v>
      </c>
      <c r="E847" s="1" t="s">
        <v>3729</v>
      </c>
      <c r="F847" s="1"/>
      <c r="G847" s="1" t="s">
        <v>70</v>
      </c>
      <c r="H847" s="1" t="s">
        <v>93</v>
      </c>
      <c r="I847" s="1">
        <v>42033.6</v>
      </c>
      <c r="J847" s="1"/>
      <c r="K847" s="1"/>
      <c r="L847" s="1" t="s">
        <v>172</v>
      </c>
      <c r="M847" s="1" t="s">
        <v>3730</v>
      </c>
      <c r="N847" s="1" t="s">
        <v>142</v>
      </c>
      <c r="O847" s="1" t="s">
        <v>143</v>
      </c>
      <c r="P847" s="2">
        <v>43799.5833333333</v>
      </c>
      <c r="Q847" s="1" t="s">
        <v>373</v>
      </c>
      <c r="R847" s="3">
        <v>43799.0</v>
      </c>
      <c r="S847" s="1"/>
      <c r="T847" s="1">
        <v>1400100.0</v>
      </c>
      <c r="U847" s="1" t="s">
        <v>185</v>
      </c>
      <c r="V847" s="1" t="s">
        <v>186</v>
      </c>
      <c r="W847" s="1" t="s">
        <v>177</v>
      </c>
      <c r="X847" s="1"/>
      <c r="Y847" s="1" t="str">
        <f>"02001004196202089"</f>
        <v>02001004196202089</v>
      </c>
      <c r="Z847" s="1" t="s">
        <v>147</v>
      </c>
      <c r="AA847" s="1" t="s">
        <v>3731</v>
      </c>
      <c r="AB847" s="1" t="str">
        <f>"13660639000145"</f>
        <v>13660639000145</v>
      </c>
      <c r="AC847" s="1"/>
      <c r="AD847" s="1"/>
      <c r="AE847" s="1"/>
      <c r="AF847" s="1">
        <v>-60.711945</v>
      </c>
      <c r="AG847" s="1">
        <v>2.764444</v>
      </c>
      <c r="AH847" s="1" t="s">
        <v>3732</v>
      </c>
      <c r="AI847" s="1"/>
      <c r="AJ847" s="1" t="s">
        <v>172</v>
      </c>
      <c r="AK847" s="1"/>
      <c r="AL847" s="1" t="s">
        <v>79</v>
      </c>
      <c r="AM847" s="1" t="s">
        <v>65</v>
      </c>
      <c r="AN847" s="1" t="s">
        <v>180</v>
      </c>
      <c r="AO847" s="2">
        <v>44016.0</v>
      </c>
      <c r="AP847" s="2">
        <v>44016.6198148148</v>
      </c>
      <c r="AQ847" s="1" t="s">
        <v>80</v>
      </c>
      <c r="AR847" s="1" t="s">
        <v>181</v>
      </c>
      <c r="AS847" s="1"/>
      <c r="AT847" s="2">
        <v>44269.931099537</v>
      </c>
    </row>
    <row r="848" ht="13.5" customHeight="1">
      <c r="A848" s="1"/>
      <c r="B848" s="1" t="s">
        <v>46</v>
      </c>
      <c r="C848" s="1" t="s">
        <v>47</v>
      </c>
      <c r="D848" s="1"/>
      <c r="E848" s="1" t="s">
        <v>3733</v>
      </c>
      <c r="F848" s="1"/>
      <c r="G848" s="1" t="s">
        <v>49</v>
      </c>
      <c r="H848" s="1" t="s">
        <v>93</v>
      </c>
      <c r="I848" s="1">
        <v>15000.0</v>
      </c>
      <c r="J848" s="1"/>
      <c r="K848" s="1"/>
      <c r="L848" s="1"/>
      <c r="M848" s="1" t="s">
        <v>3734</v>
      </c>
      <c r="N848" s="1" t="s">
        <v>95</v>
      </c>
      <c r="O848" s="1" t="s">
        <v>96</v>
      </c>
      <c r="P848" s="2">
        <v>43799.5684837963</v>
      </c>
      <c r="Q848" s="1" t="s">
        <v>373</v>
      </c>
      <c r="R848" s="1"/>
      <c r="S848" s="1"/>
      <c r="T848" s="1">
        <v>1301852.0</v>
      </c>
      <c r="U848" s="1" t="s">
        <v>3735</v>
      </c>
      <c r="V848" s="1" t="s">
        <v>486</v>
      </c>
      <c r="W848" s="1" t="s">
        <v>177</v>
      </c>
      <c r="X848" s="1"/>
      <c r="Y848" s="1" t="str">
        <f>"02001035886201946"</f>
        <v>02001035886201946</v>
      </c>
      <c r="Z848" s="1" t="s">
        <v>98</v>
      </c>
      <c r="AA848" s="1" t="s">
        <v>3736</v>
      </c>
      <c r="AB848" s="1"/>
      <c r="AC848" s="1"/>
      <c r="AD848" s="1" t="s">
        <v>62</v>
      </c>
      <c r="AE848" s="1"/>
      <c r="AF848" s="1">
        <v>-59.999443</v>
      </c>
      <c r="AG848" s="1">
        <v>-3.222778</v>
      </c>
      <c r="AH848" s="1" t="s">
        <v>3737</v>
      </c>
      <c r="AI848" s="1"/>
      <c r="AJ848" s="1" t="s">
        <v>172</v>
      </c>
      <c r="AK848" s="1"/>
      <c r="AL848" s="1"/>
      <c r="AM848" s="1" t="s">
        <v>65</v>
      </c>
      <c r="AN848" s="1" t="s">
        <v>3688</v>
      </c>
      <c r="AO848" s="1"/>
      <c r="AP848" s="2">
        <v>44266.4846527778</v>
      </c>
      <c r="AQ848" s="1"/>
      <c r="AR848" s="1" t="s">
        <v>903</v>
      </c>
      <c r="AS848" s="1"/>
      <c r="AT848" s="2">
        <v>44269.931099537</v>
      </c>
    </row>
    <row r="849" ht="13.5" customHeight="1">
      <c r="A849" s="1"/>
      <c r="B849" s="1" t="s">
        <v>46</v>
      </c>
      <c r="C849" s="1" t="s">
        <v>47</v>
      </c>
      <c r="D849" s="1"/>
      <c r="E849" s="1" t="s">
        <v>3738</v>
      </c>
      <c r="F849" s="1"/>
      <c r="G849" s="1" t="s">
        <v>49</v>
      </c>
      <c r="H849" s="1" t="s">
        <v>93</v>
      </c>
      <c r="I849" s="1">
        <v>40000.0</v>
      </c>
      <c r="J849" s="1"/>
      <c r="K849" s="1"/>
      <c r="L849" s="1"/>
      <c r="M849" s="1" t="s">
        <v>3739</v>
      </c>
      <c r="N849" s="1" t="s">
        <v>142</v>
      </c>
      <c r="O849" s="1" t="s">
        <v>143</v>
      </c>
      <c r="P849" s="2">
        <v>43799.5510648148</v>
      </c>
      <c r="Q849" s="1" t="s">
        <v>373</v>
      </c>
      <c r="R849" s="1"/>
      <c r="S849" s="1"/>
      <c r="T849" s="1">
        <v>1100320.0</v>
      </c>
      <c r="U849" s="1" t="s">
        <v>1851</v>
      </c>
      <c r="V849" s="1" t="s">
        <v>448</v>
      </c>
      <c r="W849" s="1" t="s">
        <v>177</v>
      </c>
      <c r="X849" s="1"/>
      <c r="Y849" s="1"/>
      <c r="Z849" s="1" t="s">
        <v>147</v>
      </c>
      <c r="AA849" s="1" t="s">
        <v>3740</v>
      </c>
      <c r="AB849" s="1" t="str">
        <f>"***711249**"</f>
        <v>***711249**</v>
      </c>
      <c r="AC849" s="1"/>
      <c r="AD849" s="1" t="s">
        <v>116</v>
      </c>
      <c r="AE849" s="1"/>
      <c r="AF849" s="1">
        <v>-62.59222</v>
      </c>
      <c r="AG849" s="1">
        <v>-11.642777</v>
      </c>
      <c r="AH849" s="1" t="s">
        <v>3741</v>
      </c>
      <c r="AI849" s="1"/>
      <c r="AJ849" s="1" t="s">
        <v>172</v>
      </c>
      <c r="AK849" s="1"/>
      <c r="AL849" s="1"/>
      <c r="AM849" s="1" t="s">
        <v>65</v>
      </c>
      <c r="AN849" s="1" t="s">
        <v>1395</v>
      </c>
      <c r="AO849" s="1"/>
      <c r="AP849" s="2">
        <v>43799.5694675926</v>
      </c>
      <c r="AQ849" s="1"/>
      <c r="AR849" s="1" t="s">
        <v>871</v>
      </c>
      <c r="AS849" s="1"/>
      <c r="AT849" s="2">
        <v>44269.931099537</v>
      </c>
    </row>
    <row r="850" ht="13.5" customHeight="1">
      <c r="A850" s="1"/>
      <c r="B850" s="1" t="s">
        <v>46</v>
      </c>
      <c r="C850" s="1" t="s">
        <v>47</v>
      </c>
      <c r="D850" s="1"/>
      <c r="E850" s="1" t="s">
        <v>3742</v>
      </c>
      <c r="F850" s="1"/>
      <c r="G850" s="1" t="s">
        <v>49</v>
      </c>
      <c r="H850" s="1" t="s">
        <v>93</v>
      </c>
      <c r="I850" s="1">
        <v>100000.0</v>
      </c>
      <c r="J850" s="1"/>
      <c r="K850" s="1"/>
      <c r="L850" s="1"/>
      <c r="M850" s="1" t="s">
        <v>3743</v>
      </c>
      <c r="N850" s="1" t="s">
        <v>142</v>
      </c>
      <c r="O850" s="1" t="s">
        <v>143</v>
      </c>
      <c r="P850" s="2">
        <v>43799.5375925926</v>
      </c>
      <c r="Q850" s="1" t="s">
        <v>373</v>
      </c>
      <c r="R850" s="1"/>
      <c r="S850" s="1"/>
      <c r="T850" s="1">
        <v>1100346.0</v>
      </c>
      <c r="U850" s="1" t="s">
        <v>2529</v>
      </c>
      <c r="V850" s="1" t="s">
        <v>448</v>
      </c>
      <c r="W850" s="1" t="s">
        <v>177</v>
      </c>
      <c r="X850" s="1"/>
      <c r="Y850" s="1"/>
      <c r="Z850" s="1" t="s">
        <v>147</v>
      </c>
      <c r="AA850" s="1" t="s">
        <v>3744</v>
      </c>
      <c r="AB850" s="1" t="str">
        <f>"***639732**"</f>
        <v>***639732**</v>
      </c>
      <c r="AC850" s="1"/>
      <c r="AD850" s="1" t="s">
        <v>116</v>
      </c>
      <c r="AE850" s="1"/>
      <c r="AF850" s="1">
        <v>-11.549167</v>
      </c>
      <c r="AG850" s="1">
        <v>-62.412502</v>
      </c>
      <c r="AH850" s="1" t="s">
        <v>3745</v>
      </c>
      <c r="AI850" s="1"/>
      <c r="AJ850" s="1" t="s">
        <v>172</v>
      </c>
      <c r="AK850" s="1"/>
      <c r="AL850" s="1"/>
      <c r="AM850" s="1" t="s">
        <v>65</v>
      </c>
      <c r="AN850" s="1" t="s">
        <v>1395</v>
      </c>
      <c r="AO850" s="1"/>
      <c r="AP850" s="2">
        <v>44057.5965046296</v>
      </c>
      <c r="AQ850" s="1"/>
      <c r="AR850" s="1" t="s">
        <v>644</v>
      </c>
      <c r="AS850" s="1"/>
      <c r="AT850" s="2">
        <v>44269.931099537</v>
      </c>
    </row>
    <row r="851" ht="13.5" customHeight="1">
      <c r="A851" s="1"/>
      <c r="B851" s="1" t="s">
        <v>46</v>
      </c>
      <c r="C851" s="1" t="s">
        <v>47</v>
      </c>
      <c r="D851" s="1"/>
      <c r="E851" s="1" t="s">
        <v>3746</v>
      </c>
      <c r="F851" s="1"/>
      <c r="G851" s="1" t="s">
        <v>49</v>
      </c>
      <c r="H851" s="1" t="s">
        <v>93</v>
      </c>
      <c r="I851" s="1">
        <v>5000.0</v>
      </c>
      <c r="J851" s="1"/>
      <c r="K851" s="1"/>
      <c r="L851" s="1"/>
      <c r="M851" s="1" t="s">
        <v>3747</v>
      </c>
      <c r="N851" s="1" t="s">
        <v>142</v>
      </c>
      <c r="O851" s="1" t="s">
        <v>143</v>
      </c>
      <c r="P851" s="2">
        <v>43799.5323611111</v>
      </c>
      <c r="Q851" s="1" t="s">
        <v>373</v>
      </c>
      <c r="R851" s="1"/>
      <c r="S851" s="1"/>
      <c r="T851" s="1">
        <v>1301852.0</v>
      </c>
      <c r="U851" s="1" t="s">
        <v>3735</v>
      </c>
      <c r="V851" s="1" t="s">
        <v>486</v>
      </c>
      <c r="W851" s="1" t="s">
        <v>177</v>
      </c>
      <c r="X851" s="1"/>
      <c r="Y851" s="1" t="str">
        <f>"02001035883201911"</f>
        <v>02001035883201911</v>
      </c>
      <c r="Z851" s="1" t="s">
        <v>147</v>
      </c>
      <c r="AA851" s="1" t="s">
        <v>3748</v>
      </c>
      <c r="AB851" s="1"/>
      <c r="AC851" s="1"/>
      <c r="AD851" s="1" t="s">
        <v>62</v>
      </c>
      <c r="AE851" s="1"/>
      <c r="AF851" s="1">
        <v>-59.996666</v>
      </c>
      <c r="AG851" s="1">
        <v>-3.216944</v>
      </c>
      <c r="AH851" s="1" t="s">
        <v>3737</v>
      </c>
      <c r="AI851" s="1"/>
      <c r="AJ851" s="1" t="s">
        <v>172</v>
      </c>
      <c r="AK851" s="1"/>
      <c r="AL851" s="1"/>
      <c r="AM851" s="1" t="s">
        <v>65</v>
      </c>
      <c r="AN851" s="1" t="s">
        <v>3688</v>
      </c>
      <c r="AO851" s="1"/>
      <c r="AP851" s="2">
        <v>44266.486712963</v>
      </c>
      <c r="AQ851" s="1"/>
      <c r="AR851" s="1" t="s">
        <v>903</v>
      </c>
      <c r="AS851" s="1"/>
      <c r="AT851" s="2">
        <v>44269.931099537</v>
      </c>
    </row>
    <row r="852" ht="13.5" customHeight="1">
      <c r="A852" s="1"/>
      <c r="B852" s="1" t="s">
        <v>46</v>
      </c>
      <c r="C852" s="1" t="s">
        <v>47</v>
      </c>
      <c r="D852" s="1"/>
      <c r="E852" s="1" t="s">
        <v>3749</v>
      </c>
      <c r="F852" s="1"/>
      <c r="G852" s="1" t="s">
        <v>49</v>
      </c>
      <c r="H852" s="1" t="s">
        <v>93</v>
      </c>
      <c r="I852" s="1">
        <v>10000.0</v>
      </c>
      <c r="J852" s="1"/>
      <c r="K852" s="1"/>
      <c r="L852" s="1"/>
      <c r="M852" s="1" t="s">
        <v>3750</v>
      </c>
      <c r="N852" s="1" t="s">
        <v>95</v>
      </c>
      <c r="O852" s="1" t="s">
        <v>96</v>
      </c>
      <c r="P852" s="2">
        <v>43799.5172106482</v>
      </c>
      <c r="Q852" s="1" t="s">
        <v>373</v>
      </c>
      <c r="R852" s="1"/>
      <c r="S852" s="1"/>
      <c r="T852" s="1">
        <v>1301852.0</v>
      </c>
      <c r="U852" s="1" t="s">
        <v>3735</v>
      </c>
      <c r="V852" s="1" t="s">
        <v>486</v>
      </c>
      <c r="W852" s="1" t="s">
        <v>177</v>
      </c>
      <c r="X852" s="1"/>
      <c r="Y852" s="1" t="str">
        <f>"02001035882201968"</f>
        <v>02001035882201968</v>
      </c>
      <c r="Z852" s="1" t="s">
        <v>98</v>
      </c>
      <c r="AA852" s="1" t="s">
        <v>3751</v>
      </c>
      <c r="AB852" s="1"/>
      <c r="AC852" s="1"/>
      <c r="AD852" s="1" t="s">
        <v>62</v>
      </c>
      <c r="AE852" s="1"/>
      <c r="AF852" s="1">
        <v>-59.996666</v>
      </c>
      <c r="AG852" s="1">
        <v>-3.217222</v>
      </c>
      <c r="AH852" s="1" t="s">
        <v>3737</v>
      </c>
      <c r="AI852" s="1"/>
      <c r="AJ852" s="1" t="s">
        <v>172</v>
      </c>
      <c r="AK852" s="1"/>
      <c r="AL852" s="1"/>
      <c r="AM852" s="1" t="s">
        <v>65</v>
      </c>
      <c r="AN852" s="1" t="s">
        <v>3688</v>
      </c>
      <c r="AO852" s="1"/>
      <c r="AP852" s="2">
        <v>44266.4865740741</v>
      </c>
      <c r="AQ852" s="1"/>
      <c r="AR852" s="1" t="s">
        <v>903</v>
      </c>
      <c r="AS852" s="1"/>
      <c r="AT852" s="2">
        <v>44269.931099537</v>
      </c>
    </row>
    <row r="853" ht="13.5" customHeight="1">
      <c r="A853" s="1"/>
      <c r="B853" s="1" t="s">
        <v>46</v>
      </c>
      <c r="C853" s="1" t="s">
        <v>47</v>
      </c>
      <c r="D853" s="1"/>
      <c r="E853" s="1" t="s">
        <v>3752</v>
      </c>
      <c r="F853" s="1"/>
      <c r="G853" s="1" t="s">
        <v>49</v>
      </c>
      <c r="H853" s="1" t="s">
        <v>93</v>
      </c>
      <c r="I853" s="1">
        <v>10000.0</v>
      </c>
      <c r="J853" s="1"/>
      <c r="K853" s="1"/>
      <c r="L853" s="1"/>
      <c r="M853" s="1" t="s">
        <v>3753</v>
      </c>
      <c r="N853" s="1" t="s">
        <v>95</v>
      </c>
      <c r="O853" s="1" t="s">
        <v>96</v>
      </c>
      <c r="P853" s="2">
        <v>43799.4990972222</v>
      </c>
      <c r="Q853" s="1" t="s">
        <v>373</v>
      </c>
      <c r="R853" s="1"/>
      <c r="S853" s="1"/>
      <c r="T853" s="1">
        <v>1301852.0</v>
      </c>
      <c r="U853" s="1" t="s">
        <v>3735</v>
      </c>
      <c r="V853" s="1" t="s">
        <v>486</v>
      </c>
      <c r="W853" s="1" t="s">
        <v>177</v>
      </c>
      <c r="X853" s="1"/>
      <c r="Y853" s="1" t="str">
        <f>"02001035881201913"</f>
        <v>02001035881201913</v>
      </c>
      <c r="Z853" s="1" t="s">
        <v>98</v>
      </c>
      <c r="AA853" s="1" t="s">
        <v>3754</v>
      </c>
      <c r="AB853" s="1"/>
      <c r="AC853" s="1"/>
      <c r="AD853" s="1" t="s">
        <v>62</v>
      </c>
      <c r="AE853" s="1"/>
      <c r="AF853" s="1">
        <v>-59.996666</v>
      </c>
      <c r="AG853" s="1">
        <v>-3.216944</v>
      </c>
      <c r="AH853" s="1" t="s">
        <v>3737</v>
      </c>
      <c r="AI853" s="1"/>
      <c r="AJ853" s="1" t="s">
        <v>172</v>
      </c>
      <c r="AK853" s="1"/>
      <c r="AL853" s="1"/>
      <c r="AM853" s="1" t="s">
        <v>65</v>
      </c>
      <c r="AN853" s="1" t="s">
        <v>3688</v>
      </c>
      <c r="AO853" s="1"/>
      <c r="AP853" s="2">
        <v>44266.4856018519</v>
      </c>
      <c r="AQ853" s="1"/>
      <c r="AR853" s="1" t="s">
        <v>903</v>
      </c>
      <c r="AS853" s="1"/>
      <c r="AT853" s="2">
        <v>44269.931099537</v>
      </c>
    </row>
    <row r="854" ht="13.5" customHeight="1">
      <c r="A854" s="1"/>
      <c r="B854" s="1" t="s">
        <v>46</v>
      </c>
      <c r="C854" s="1" t="s">
        <v>47</v>
      </c>
      <c r="D854" s="1"/>
      <c r="E854" s="1" t="s">
        <v>3755</v>
      </c>
      <c r="F854" s="1"/>
      <c r="G854" s="1" t="s">
        <v>49</v>
      </c>
      <c r="H854" s="1" t="s">
        <v>93</v>
      </c>
      <c r="I854" s="1">
        <v>11067.6</v>
      </c>
      <c r="J854" s="1"/>
      <c r="K854" s="1"/>
      <c r="L854" s="1"/>
      <c r="M854" s="1" t="s">
        <v>3756</v>
      </c>
      <c r="N854" s="1" t="s">
        <v>142</v>
      </c>
      <c r="O854" s="1" t="s">
        <v>143</v>
      </c>
      <c r="P854" s="2">
        <v>43799.4907060185</v>
      </c>
      <c r="Q854" s="1" t="s">
        <v>74</v>
      </c>
      <c r="R854" s="3">
        <v>43799.0</v>
      </c>
      <c r="S854" s="1"/>
      <c r="T854" s="1">
        <v>5218003.0</v>
      </c>
      <c r="U854" s="1" t="s">
        <v>3709</v>
      </c>
      <c r="V854" s="1" t="s">
        <v>375</v>
      </c>
      <c r="W854" s="1" t="s">
        <v>177</v>
      </c>
      <c r="X854" s="1"/>
      <c r="Y854" s="1"/>
      <c r="Z854" s="1" t="s">
        <v>147</v>
      </c>
      <c r="AA854" s="1" t="s">
        <v>3710</v>
      </c>
      <c r="AB854" s="1" t="str">
        <f>"***476911**"</f>
        <v>***476911**</v>
      </c>
      <c r="AC854" s="1"/>
      <c r="AD854" s="1" t="s">
        <v>149</v>
      </c>
      <c r="AE854" s="1"/>
      <c r="AF854" s="1">
        <v>-49.131386</v>
      </c>
      <c r="AG854" s="1">
        <v>-13.406388</v>
      </c>
      <c r="AH854" s="1" t="s">
        <v>3711</v>
      </c>
      <c r="AI854" s="1"/>
      <c r="AJ854" s="1" t="s">
        <v>371</v>
      </c>
      <c r="AK854" s="1"/>
      <c r="AL854" s="1"/>
      <c r="AM854" s="1" t="s">
        <v>65</v>
      </c>
      <c r="AN854" s="1" t="s">
        <v>3712</v>
      </c>
      <c r="AO854" s="1"/>
      <c r="AP854" s="2">
        <v>43799.586724537</v>
      </c>
      <c r="AQ854" s="1"/>
      <c r="AR854" s="1" t="s">
        <v>613</v>
      </c>
      <c r="AS854" s="1"/>
      <c r="AT854" s="2">
        <v>44269.931099537</v>
      </c>
    </row>
    <row r="855" ht="13.5" customHeight="1">
      <c r="A855" s="1"/>
      <c r="B855" s="1" t="s">
        <v>46</v>
      </c>
      <c r="C855" s="1" t="s">
        <v>47</v>
      </c>
      <c r="D855" s="1"/>
      <c r="E855" s="1" t="s">
        <v>3757</v>
      </c>
      <c r="F855" s="1"/>
      <c r="G855" s="1" t="s">
        <v>49</v>
      </c>
      <c r="H855" s="1" t="s">
        <v>93</v>
      </c>
      <c r="I855" s="1">
        <v>5800.0</v>
      </c>
      <c r="J855" s="1"/>
      <c r="K855" s="1"/>
      <c r="L855" s="1"/>
      <c r="M855" s="1" t="s">
        <v>3758</v>
      </c>
      <c r="N855" s="1" t="s">
        <v>53</v>
      </c>
      <c r="O855" s="1" t="s">
        <v>54</v>
      </c>
      <c r="P855" s="2">
        <v>43799.4736921296</v>
      </c>
      <c r="Q855" s="1" t="s">
        <v>373</v>
      </c>
      <c r="R855" s="1"/>
      <c r="S855" s="1"/>
      <c r="T855" s="1">
        <v>2501401.0</v>
      </c>
      <c r="U855" s="1" t="s">
        <v>3759</v>
      </c>
      <c r="V855" s="1" t="s">
        <v>728</v>
      </c>
      <c r="W855" s="1" t="s">
        <v>288</v>
      </c>
      <c r="X855" s="1"/>
      <c r="Y855" s="1"/>
      <c r="Z855" s="1" t="s">
        <v>60</v>
      </c>
      <c r="AA855" s="1" t="s">
        <v>3760</v>
      </c>
      <c r="AB855" s="1" t="str">
        <f>"***139454**"</f>
        <v>***139454**</v>
      </c>
      <c r="AC855" s="1"/>
      <c r="AD855" s="1" t="s">
        <v>62</v>
      </c>
      <c r="AE855" s="1"/>
      <c r="AF855" s="1">
        <v>-34.931946</v>
      </c>
      <c r="AG855" s="1">
        <v>-6.688056</v>
      </c>
      <c r="AH855" s="1" t="s">
        <v>3761</v>
      </c>
      <c r="AI855" s="1"/>
      <c r="AJ855" s="1" t="s">
        <v>172</v>
      </c>
      <c r="AK855" s="1"/>
      <c r="AL855" s="1"/>
      <c r="AM855" s="1" t="s">
        <v>65</v>
      </c>
      <c r="AN855" s="1" t="s">
        <v>2722</v>
      </c>
      <c r="AO855" s="1"/>
      <c r="AP855" s="2">
        <v>44193.7333217593</v>
      </c>
      <c r="AQ855" s="1"/>
      <c r="AR855" s="1" t="s">
        <v>1675</v>
      </c>
      <c r="AS855" s="1" t="s">
        <v>3762</v>
      </c>
      <c r="AT855" s="2">
        <v>44269.931099537</v>
      </c>
    </row>
    <row r="856" ht="13.5" customHeight="1">
      <c r="A856" s="1"/>
      <c r="B856" s="1" t="s">
        <v>46</v>
      </c>
      <c r="C856" s="1" t="s">
        <v>47</v>
      </c>
      <c r="D856" s="1"/>
      <c r="E856" s="1" t="s">
        <v>3763</v>
      </c>
      <c r="F856" s="1"/>
      <c r="G856" s="1" t="s">
        <v>49</v>
      </c>
      <c r="H856" s="1" t="s">
        <v>93</v>
      </c>
      <c r="I856" s="1">
        <v>10000.0</v>
      </c>
      <c r="J856" s="1"/>
      <c r="K856" s="1"/>
      <c r="L856" s="1"/>
      <c r="M856" s="1" t="s">
        <v>3764</v>
      </c>
      <c r="N856" s="1" t="s">
        <v>142</v>
      </c>
      <c r="O856" s="1" t="s">
        <v>143</v>
      </c>
      <c r="P856" s="2">
        <v>43799.4253935185</v>
      </c>
      <c r="Q856" s="1" t="s">
        <v>74</v>
      </c>
      <c r="R856" s="1"/>
      <c r="S856" s="1"/>
      <c r="T856" s="1">
        <v>1100080.0</v>
      </c>
      <c r="U856" s="1" t="s">
        <v>1392</v>
      </c>
      <c r="V856" s="1" t="s">
        <v>448</v>
      </c>
      <c r="W856" s="1" t="s">
        <v>177</v>
      </c>
      <c r="X856" s="1"/>
      <c r="Y856" s="1"/>
      <c r="Z856" s="1" t="s">
        <v>147</v>
      </c>
      <c r="AA856" s="1" t="s">
        <v>3765</v>
      </c>
      <c r="AB856" s="1" t="str">
        <f>"***826482**"</f>
        <v>***826482**</v>
      </c>
      <c r="AC856" s="1"/>
      <c r="AD856" s="1" t="s">
        <v>116</v>
      </c>
      <c r="AE856" s="1"/>
      <c r="AF856" s="1">
        <v>-64.013336</v>
      </c>
      <c r="AG856" s="1">
        <v>-11.934167</v>
      </c>
      <c r="AH856" s="1" t="s">
        <v>3766</v>
      </c>
      <c r="AI856" s="1"/>
      <c r="AJ856" s="1" t="s">
        <v>172</v>
      </c>
      <c r="AK856" s="1"/>
      <c r="AL856" s="1"/>
      <c r="AM856" s="1" t="s">
        <v>65</v>
      </c>
      <c r="AN856" s="1" t="s">
        <v>1395</v>
      </c>
      <c r="AO856" s="1"/>
      <c r="AP856" s="2">
        <v>43799.4423148148</v>
      </c>
      <c r="AQ856" s="1"/>
      <c r="AR856" s="1" t="s">
        <v>3767</v>
      </c>
      <c r="AS856" s="1"/>
      <c r="AT856" s="2">
        <v>44269.931099537</v>
      </c>
    </row>
    <row r="857" ht="13.5" customHeight="1">
      <c r="A857" s="1">
        <v>2039158.0</v>
      </c>
      <c r="B857" s="1" t="s">
        <v>67</v>
      </c>
      <c r="C857" s="1" t="s">
        <v>68</v>
      </c>
      <c r="D857" s="1" t="s">
        <v>46</v>
      </c>
      <c r="E857" s="1" t="s">
        <v>3768</v>
      </c>
      <c r="F857" s="1"/>
      <c r="G857" s="1" t="s">
        <v>70</v>
      </c>
      <c r="H857" s="1" t="s">
        <v>50</v>
      </c>
      <c r="I857" s="1">
        <v>300.0</v>
      </c>
      <c r="J857" s="1"/>
      <c r="K857" s="1"/>
      <c r="L857" s="1" t="s">
        <v>172</v>
      </c>
      <c r="M857" s="1" t="s">
        <v>3769</v>
      </c>
      <c r="N857" s="1" t="s">
        <v>53</v>
      </c>
      <c r="O857" s="1" t="s">
        <v>54</v>
      </c>
      <c r="P857" s="2">
        <v>43799.2916666667</v>
      </c>
      <c r="Q857" s="1" t="s">
        <v>373</v>
      </c>
      <c r="R857" s="3">
        <v>43799.0</v>
      </c>
      <c r="S857" s="1"/>
      <c r="T857" s="1">
        <v>2501401.0</v>
      </c>
      <c r="U857" s="1" t="s">
        <v>3759</v>
      </c>
      <c r="V857" s="1" t="s">
        <v>728</v>
      </c>
      <c r="W857" s="1" t="s">
        <v>288</v>
      </c>
      <c r="X857" s="1"/>
      <c r="Y857" s="1" t="str">
        <f>"02001018496202045"</f>
        <v>02001018496202045</v>
      </c>
      <c r="Z857" s="1" t="s">
        <v>60</v>
      </c>
      <c r="AA857" s="1" t="s">
        <v>3770</v>
      </c>
      <c r="AB857" s="1" t="str">
        <f>"***139454**"</f>
        <v>***139454**</v>
      </c>
      <c r="AC857" s="1"/>
      <c r="AD857" s="1"/>
      <c r="AE857" s="1"/>
      <c r="AF857" s="1">
        <v>-34.931946</v>
      </c>
      <c r="AG857" s="1">
        <v>-6.688056</v>
      </c>
      <c r="AH857" s="1" t="s">
        <v>3771</v>
      </c>
      <c r="AI857" s="1"/>
      <c r="AJ857" s="1" t="s">
        <v>172</v>
      </c>
      <c r="AK857" s="1"/>
      <c r="AL857" s="1" t="s">
        <v>79</v>
      </c>
      <c r="AM857" s="1" t="s">
        <v>65</v>
      </c>
      <c r="AN857" s="1" t="s">
        <v>2722</v>
      </c>
      <c r="AO857" s="2">
        <v>44055.0</v>
      </c>
      <c r="AP857" s="2">
        <v>44055.6216203704</v>
      </c>
      <c r="AQ857" s="1" t="s">
        <v>80</v>
      </c>
      <c r="AR857" s="1" t="s">
        <v>3772</v>
      </c>
      <c r="AS857" s="1"/>
      <c r="AT857" s="2">
        <v>44269.931099537</v>
      </c>
    </row>
    <row r="858" ht="13.5" customHeight="1">
      <c r="A858" s="1"/>
      <c r="B858" s="1" t="s">
        <v>46</v>
      </c>
      <c r="C858" s="1" t="s">
        <v>47</v>
      </c>
      <c r="D858" s="1"/>
      <c r="E858" s="1" t="s">
        <v>3773</v>
      </c>
      <c r="F858" s="1"/>
      <c r="G858" s="1" t="s">
        <v>49</v>
      </c>
      <c r="H858" s="1" t="s">
        <v>93</v>
      </c>
      <c r="I858" s="1">
        <v>28000.0</v>
      </c>
      <c r="J858" s="1"/>
      <c r="K858" s="1"/>
      <c r="L858" s="1"/>
      <c r="M858" s="1" t="s">
        <v>3774</v>
      </c>
      <c r="N858" s="1" t="s">
        <v>95</v>
      </c>
      <c r="O858" s="1" t="s">
        <v>96</v>
      </c>
      <c r="P858" s="2">
        <v>43799.2915046296</v>
      </c>
      <c r="Q858" s="1" t="s">
        <v>373</v>
      </c>
      <c r="R858" s="1"/>
      <c r="S858" s="1"/>
      <c r="T858" s="1">
        <v>2801207.0</v>
      </c>
      <c r="U858" s="1" t="s">
        <v>3775</v>
      </c>
      <c r="V858" s="1" t="s">
        <v>566</v>
      </c>
      <c r="W858" s="1" t="s">
        <v>113</v>
      </c>
      <c r="X858" s="1"/>
      <c r="Y858" s="1"/>
      <c r="Z858" s="1" t="s">
        <v>98</v>
      </c>
      <c r="AA858" s="1" t="s">
        <v>3776</v>
      </c>
      <c r="AB858" s="1" t="str">
        <f t="shared" ref="AB858:AB859" si="38">"***881204**"</f>
        <v>***881204**</v>
      </c>
      <c r="AC858" s="1"/>
      <c r="AD858" s="1" t="s">
        <v>62</v>
      </c>
      <c r="AE858" s="1"/>
      <c r="AF858" s="1">
        <v>-37.829445</v>
      </c>
      <c r="AG858" s="1">
        <v>-9.625556</v>
      </c>
      <c r="AH858" s="1" t="s">
        <v>3777</v>
      </c>
      <c r="AI858" s="1"/>
      <c r="AJ858" s="1" t="s">
        <v>569</v>
      </c>
      <c r="AK858" s="1"/>
      <c r="AL858" s="1"/>
      <c r="AM858" s="1" t="s">
        <v>65</v>
      </c>
      <c r="AN858" s="1" t="s">
        <v>3778</v>
      </c>
      <c r="AO858" s="1"/>
      <c r="AP858" s="2">
        <v>43799.3371527778</v>
      </c>
      <c r="AQ858" s="1"/>
      <c r="AR858" s="1" t="s">
        <v>3779</v>
      </c>
      <c r="AS858" s="1"/>
      <c r="AT858" s="2">
        <v>44269.931099537</v>
      </c>
    </row>
    <row r="859" ht="13.5" customHeight="1">
      <c r="A859" s="1"/>
      <c r="B859" s="1" t="s">
        <v>46</v>
      </c>
      <c r="C859" s="1" t="s">
        <v>47</v>
      </c>
      <c r="D859" s="1"/>
      <c r="E859" s="1" t="s">
        <v>3780</v>
      </c>
      <c r="F859" s="1"/>
      <c r="G859" s="1" t="s">
        <v>49</v>
      </c>
      <c r="H859" s="1" t="s">
        <v>50</v>
      </c>
      <c r="I859" s="1">
        <v>1820.0</v>
      </c>
      <c r="J859" s="1"/>
      <c r="K859" s="1" t="s">
        <v>140</v>
      </c>
      <c r="L859" s="1"/>
      <c r="M859" s="1" t="s">
        <v>3781</v>
      </c>
      <c r="N859" s="1" t="s">
        <v>53</v>
      </c>
      <c r="O859" s="1" t="s">
        <v>54</v>
      </c>
      <c r="P859" s="2">
        <v>43799.197974537</v>
      </c>
      <c r="Q859" s="1" t="s">
        <v>373</v>
      </c>
      <c r="R859" s="1"/>
      <c r="S859" s="1"/>
      <c r="T859" s="1">
        <v>2801207.0</v>
      </c>
      <c r="U859" s="1" t="s">
        <v>3775</v>
      </c>
      <c r="V859" s="1" t="s">
        <v>566</v>
      </c>
      <c r="W859" s="1" t="s">
        <v>113</v>
      </c>
      <c r="X859" s="1"/>
      <c r="Y859" s="1"/>
      <c r="Z859" s="1" t="s">
        <v>60</v>
      </c>
      <c r="AA859" s="1" t="s">
        <v>3776</v>
      </c>
      <c r="AB859" s="1" t="str">
        <f t="shared" si="38"/>
        <v>***881204**</v>
      </c>
      <c r="AC859" s="1"/>
      <c r="AD859" s="1" t="s">
        <v>149</v>
      </c>
      <c r="AE859" s="1"/>
      <c r="AF859" s="1">
        <v>-37.144169</v>
      </c>
      <c r="AG859" s="1">
        <v>11.084723</v>
      </c>
      <c r="AH859" s="1" t="s">
        <v>3782</v>
      </c>
      <c r="AI859" s="1"/>
      <c r="AJ859" s="1" t="s">
        <v>569</v>
      </c>
      <c r="AK859" s="1"/>
      <c r="AL859" s="1"/>
      <c r="AM859" s="1" t="s">
        <v>65</v>
      </c>
      <c r="AN859" s="1" t="s">
        <v>3778</v>
      </c>
      <c r="AO859" s="1"/>
      <c r="AP859" s="2">
        <v>43799.2797337963</v>
      </c>
      <c r="AQ859" s="1"/>
      <c r="AR859" s="1" t="s">
        <v>3783</v>
      </c>
      <c r="AS859" s="1" t="s">
        <v>3784</v>
      </c>
      <c r="AT859" s="2">
        <v>44269.931099537</v>
      </c>
    </row>
    <row r="860" ht="13.5" customHeight="1">
      <c r="A860" s="1"/>
      <c r="B860" s="1" t="s">
        <v>46</v>
      </c>
      <c r="C860" s="1" t="s">
        <v>47</v>
      </c>
      <c r="D860" s="1"/>
      <c r="E860" s="1" t="s">
        <v>3785</v>
      </c>
      <c r="F860" s="1"/>
      <c r="G860" s="1" t="s">
        <v>49</v>
      </c>
      <c r="H860" s="1" t="s">
        <v>50</v>
      </c>
      <c r="I860" s="1">
        <v>45000.0</v>
      </c>
      <c r="J860" s="1"/>
      <c r="K860" s="1" t="s">
        <v>51</v>
      </c>
      <c r="L860" s="1"/>
      <c r="M860" s="1" t="s">
        <v>3786</v>
      </c>
      <c r="N860" s="1" t="s">
        <v>977</v>
      </c>
      <c r="O860" s="1" t="s">
        <v>978</v>
      </c>
      <c r="P860" s="2">
        <v>43798.9353240741</v>
      </c>
      <c r="Q860" s="1" t="s">
        <v>74</v>
      </c>
      <c r="R860" s="1"/>
      <c r="S860" s="1"/>
      <c r="T860" s="1">
        <v>3550308.0</v>
      </c>
      <c r="U860" s="1" t="s">
        <v>607</v>
      </c>
      <c r="V860" s="1" t="s">
        <v>58</v>
      </c>
      <c r="W860" s="1" t="s">
        <v>59</v>
      </c>
      <c r="X860" s="1"/>
      <c r="Y860" s="1"/>
      <c r="Z860" s="1" t="s">
        <v>980</v>
      </c>
      <c r="AA860" s="1" t="s">
        <v>3787</v>
      </c>
      <c r="AB860" s="1" t="str">
        <f>"14122356000102"</f>
        <v>14122356000102</v>
      </c>
      <c r="AC860" s="1"/>
      <c r="AD860" s="1" t="s">
        <v>149</v>
      </c>
      <c r="AE860" s="1"/>
      <c r="AF860" s="1">
        <v>-46.638889</v>
      </c>
      <c r="AG860" s="1">
        <v>-23.548889</v>
      </c>
      <c r="AH860" s="1" t="s">
        <v>3788</v>
      </c>
      <c r="AI860" s="1"/>
      <c r="AJ860" s="1" t="s">
        <v>172</v>
      </c>
      <c r="AK860" s="1"/>
      <c r="AL860" s="1"/>
      <c r="AM860" s="1" t="s">
        <v>65</v>
      </c>
      <c r="AN860" s="1" t="s">
        <v>983</v>
      </c>
      <c r="AO860" s="1"/>
      <c r="AP860" s="2">
        <v>44014.8118518519</v>
      </c>
      <c r="AQ860" s="1"/>
      <c r="AR860" s="1" t="s">
        <v>229</v>
      </c>
      <c r="AS860" s="1" t="s">
        <v>3789</v>
      </c>
      <c r="AT860" s="2">
        <v>44269.931099537</v>
      </c>
    </row>
    <row r="861" ht="13.5" customHeight="1">
      <c r="A861" s="1"/>
      <c r="B861" s="1" t="s">
        <v>46</v>
      </c>
      <c r="C861" s="1" t="s">
        <v>47</v>
      </c>
      <c r="D861" s="1"/>
      <c r="E861" s="1" t="s">
        <v>3790</v>
      </c>
      <c r="F861" s="1"/>
      <c r="G861" s="1" t="s">
        <v>49</v>
      </c>
      <c r="H861" s="1" t="s">
        <v>93</v>
      </c>
      <c r="I861" s="1">
        <v>18088.0</v>
      </c>
      <c r="J861" s="1"/>
      <c r="K861" s="1" t="s">
        <v>140</v>
      </c>
      <c r="L861" s="1"/>
      <c r="M861" s="1" t="s">
        <v>3791</v>
      </c>
      <c r="N861" s="1" t="s">
        <v>977</v>
      </c>
      <c r="O861" s="1" t="s">
        <v>978</v>
      </c>
      <c r="P861" s="2">
        <v>43798.9126967593</v>
      </c>
      <c r="Q861" s="1" t="s">
        <v>373</v>
      </c>
      <c r="R861" s="1"/>
      <c r="S861" s="1"/>
      <c r="T861" s="1">
        <v>1600253.0</v>
      </c>
      <c r="U861" s="1" t="s">
        <v>3792</v>
      </c>
      <c r="V861" s="1" t="s">
        <v>797</v>
      </c>
      <c r="W861" s="1" t="s">
        <v>127</v>
      </c>
      <c r="X861" s="1"/>
      <c r="Y861" s="1"/>
      <c r="Z861" s="1" t="s">
        <v>980</v>
      </c>
      <c r="AA861" s="1" t="s">
        <v>3793</v>
      </c>
      <c r="AB861" s="1" t="str">
        <f>"17572473000166"</f>
        <v>17572473000166</v>
      </c>
      <c r="AC861" s="1"/>
      <c r="AD861" s="1" t="s">
        <v>62</v>
      </c>
      <c r="AE861" s="1"/>
      <c r="AF861" s="1">
        <v>-50.823887</v>
      </c>
      <c r="AG861" s="1">
        <v>0.568611</v>
      </c>
      <c r="AH861" s="1" t="s">
        <v>3794</v>
      </c>
      <c r="AI861" s="1"/>
      <c r="AJ861" s="1" t="s">
        <v>800</v>
      </c>
      <c r="AK861" s="1"/>
      <c r="AL861" s="1"/>
      <c r="AM861" s="1" t="s">
        <v>65</v>
      </c>
      <c r="AN861" s="1" t="s">
        <v>3795</v>
      </c>
      <c r="AO861" s="1"/>
      <c r="AP861" s="2">
        <v>43798.9838657408</v>
      </c>
      <c r="AQ861" s="1"/>
      <c r="AR861" s="1" t="s">
        <v>1756</v>
      </c>
      <c r="AS861" s="1" t="s">
        <v>3569</v>
      </c>
      <c r="AT861" s="2">
        <v>44269.931099537</v>
      </c>
    </row>
    <row r="862" ht="13.5" customHeight="1">
      <c r="A862" s="1"/>
      <c r="B862" s="1" t="s">
        <v>46</v>
      </c>
      <c r="C862" s="1" t="s">
        <v>47</v>
      </c>
      <c r="D862" s="1"/>
      <c r="E862" s="1" t="s">
        <v>3796</v>
      </c>
      <c r="F862" s="1"/>
      <c r="G862" s="1" t="s">
        <v>49</v>
      </c>
      <c r="H862" s="1" t="s">
        <v>50</v>
      </c>
      <c r="I862" s="1">
        <v>25000.0</v>
      </c>
      <c r="J862" s="1"/>
      <c r="K862" s="1" t="s">
        <v>51</v>
      </c>
      <c r="L862" s="1"/>
      <c r="M862" s="1" t="s">
        <v>3797</v>
      </c>
      <c r="N862" s="1" t="s">
        <v>977</v>
      </c>
      <c r="O862" s="1" t="s">
        <v>978</v>
      </c>
      <c r="P862" s="2">
        <v>43798.9042013889</v>
      </c>
      <c r="Q862" s="1" t="s">
        <v>74</v>
      </c>
      <c r="R862" s="1"/>
      <c r="S862" s="1"/>
      <c r="T862" s="1">
        <v>3543402.0</v>
      </c>
      <c r="U862" s="1" t="s">
        <v>3798</v>
      </c>
      <c r="V862" s="1" t="s">
        <v>58</v>
      </c>
      <c r="W862" s="1" t="s">
        <v>59</v>
      </c>
      <c r="X862" s="1"/>
      <c r="Y862" s="1"/>
      <c r="Z862" s="1" t="s">
        <v>980</v>
      </c>
      <c r="AA862" s="1" t="s">
        <v>3799</v>
      </c>
      <c r="AB862" s="1" t="str">
        <f>"60928355000177"</f>
        <v>60928355000177</v>
      </c>
      <c r="AC862" s="1"/>
      <c r="AD862" s="1" t="s">
        <v>149</v>
      </c>
      <c r="AE862" s="1"/>
      <c r="AF862" s="1">
        <v>-47.820831</v>
      </c>
      <c r="AG862" s="1">
        <v>-21.176666</v>
      </c>
      <c r="AH862" s="1" t="s">
        <v>3799</v>
      </c>
      <c r="AI862" s="1"/>
      <c r="AJ862" s="1" t="s">
        <v>172</v>
      </c>
      <c r="AK862" s="1"/>
      <c r="AL862" s="1"/>
      <c r="AM862" s="1" t="s">
        <v>65</v>
      </c>
      <c r="AN862" s="1" t="s">
        <v>983</v>
      </c>
      <c r="AO862" s="1"/>
      <c r="AP862" s="2">
        <v>44014.8119560185</v>
      </c>
      <c r="AQ862" s="1"/>
      <c r="AR862" s="1" t="s">
        <v>229</v>
      </c>
      <c r="AS862" s="1" t="s">
        <v>3789</v>
      </c>
      <c r="AT862" s="2">
        <v>44269.931099537</v>
      </c>
    </row>
    <row r="863" ht="13.5" customHeight="1">
      <c r="A863" s="1">
        <v>2035081.0</v>
      </c>
      <c r="B863" s="1" t="s">
        <v>67</v>
      </c>
      <c r="C863" s="1" t="s">
        <v>68</v>
      </c>
      <c r="D863" s="1" t="s">
        <v>46</v>
      </c>
      <c r="E863" s="1" t="s">
        <v>3800</v>
      </c>
      <c r="F863" s="1"/>
      <c r="G863" s="1" t="s">
        <v>70</v>
      </c>
      <c r="H863" s="1" t="s">
        <v>50</v>
      </c>
      <c r="I863" s="1">
        <v>65500.0</v>
      </c>
      <c r="J863" s="1"/>
      <c r="K863" s="1"/>
      <c r="L863" s="1" t="s">
        <v>106</v>
      </c>
      <c r="M863" s="1" t="s">
        <v>3801</v>
      </c>
      <c r="N863" s="1" t="s">
        <v>95</v>
      </c>
      <c r="O863" s="1" t="s">
        <v>96</v>
      </c>
      <c r="P863" s="2">
        <v>43798.7916666667</v>
      </c>
      <c r="Q863" s="1" t="s">
        <v>74</v>
      </c>
      <c r="R863" s="3">
        <v>43798.0</v>
      </c>
      <c r="S863" s="1"/>
      <c r="T863" s="1">
        <v>2304400.0</v>
      </c>
      <c r="U863" s="1" t="s">
        <v>111</v>
      </c>
      <c r="V863" s="1" t="s">
        <v>112</v>
      </c>
      <c r="W863" s="1" t="s">
        <v>113</v>
      </c>
      <c r="X863" s="1"/>
      <c r="Y863" s="1" t="str">
        <f>"02007003936201976"</f>
        <v>02007003936201976</v>
      </c>
      <c r="Z863" s="1" t="s">
        <v>98</v>
      </c>
      <c r="AA863" s="1" t="s">
        <v>3802</v>
      </c>
      <c r="AB863" s="1" t="str">
        <f>"***847318**"</f>
        <v>***847318**</v>
      </c>
      <c r="AC863" s="1"/>
      <c r="AD863" s="1" t="s">
        <v>116</v>
      </c>
      <c r="AE863" s="1"/>
      <c r="AF863" s="1">
        <v>-38.623611</v>
      </c>
      <c r="AG863" s="1">
        <v>-3.780833</v>
      </c>
      <c r="AH863" s="1" t="s">
        <v>3803</v>
      </c>
      <c r="AI863" s="1"/>
      <c r="AJ863" s="1" t="s">
        <v>106</v>
      </c>
      <c r="AK863" s="1"/>
      <c r="AL863" s="1" t="s">
        <v>118</v>
      </c>
      <c r="AM863" s="1" t="s">
        <v>65</v>
      </c>
      <c r="AN863" s="1" t="s">
        <v>3804</v>
      </c>
      <c r="AO863" s="2">
        <v>43894.0</v>
      </c>
      <c r="AP863" s="2">
        <v>43895.3368518519</v>
      </c>
      <c r="AQ863" s="1" t="s">
        <v>80</v>
      </c>
      <c r="AR863" s="1" t="s">
        <v>3805</v>
      </c>
      <c r="AS863" s="1"/>
      <c r="AT863" s="2">
        <v>44269.931099537</v>
      </c>
    </row>
    <row r="864" ht="13.5" customHeight="1">
      <c r="A864" s="1">
        <v>2043700.0</v>
      </c>
      <c r="B864" s="1" t="s">
        <v>67</v>
      </c>
      <c r="C864" s="1" t="s">
        <v>68</v>
      </c>
      <c r="D864" s="1" t="s">
        <v>46</v>
      </c>
      <c r="E864" s="1" t="s">
        <v>3806</v>
      </c>
      <c r="F864" s="1"/>
      <c r="G864" s="1" t="s">
        <v>70</v>
      </c>
      <c r="H864" s="1" t="s">
        <v>50</v>
      </c>
      <c r="I864" s="1">
        <v>105000.0</v>
      </c>
      <c r="J864" s="1"/>
      <c r="K864" s="1"/>
      <c r="L864" s="1" t="s">
        <v>65</v>
      </c>
      <c r="M864" s="1" t="s">
        <v>3786</v>
      </c>
      <c r="N864" s="1" t="s">
        <v>283</v>
      </c>
      <c r="O864" s="1" t="s">
        <v>978</v>
      </c>
      <c r="P864" s="2">
        <v>43798.7916666667</v>
      </c>
      <c r="Q864" s="1" t="s">
        <v>74</v>
      </c>
      <c r="R864" s="3">
        <v>43844.0</v>
      </c>
      <c r="S864" s="1"/>
      <c r="T864" s="1">
        <v>3552205.0</v>
      </c>
      <c r="U864" s="1" t="s">
        <v>3807</v>
      </c>
      <c r="V864" s="1" t="s">
        <v>58</v>
      </c>
      <c r="W864" s="1" t="s">
        <v>59</v>
      </c>
      <c r="X864" s="1"/>
      <c r="Y864" s="1" t="str">
        <f>"02001034491201926"</f>
        <v>02001034491201926</v>
      </c>
      <c r="Z864" s="1" t="s">
        <v>980</v>
      </c>
      <c r="AA864" s="1" t="s">
        <v>3808</v>
      </c>
      <c r="AB864" s="1" t="str">
        <f>"61074829008701"</f>
        <v>61074829008701</v>
      </c>
      <c r="AC864" s="1"/>
      <c r="AD864" s="1" t="s">
        <v>116</v>
      </c>
      <c r="AE864" s="1"/>
      <c r="AF864" s="1">
        <v>-47.455833</v>
      </c>
      <c r="AG864" s="1">
        <v>-23.506111</v>
      </c>
      <c r="AH864" s="1" t="s">
        <v>3808</v>
      </c>
      <c r="AI864" s="1"/>
      <c r="AJ864" s="1" t="s">
        <v>172</v>
      </c>
      <c r="AK864" s="1" t="s">
        <v>3809</v>
      </c>
      <c r="AL864" s="1" t="s">
        <v>79</v>
      </c>
      <c r="AM864" s="1" t="s">
        <v>65</v>
      </c>
      <c r="AN864" s="1" t="s">
        <v>983</v>
      </c>
      <c r="AO864" s="2">
        <v>44249.0</v>
      </c>
      <c r="AP864" s="2">
        <v>44249.7875</v>
      </c>
      <c r="AQ864" s="1" t="s">
        <v>80</v>
      </c>
      <c r="AR864" s="1" t="s">
        <v>3810</v>
      </c>
      <c r="AS864" s="1" t="s">
        <v>3811</v>
      </c>
      <c r="AT864" s="2">
        <v>44269.931099537</v>
      </c>
    </row>
    <row r="865" ht="13.5" customHeight="1">
      <c r="A865" s="1">
        <v>2034487.0</v>
      </c>
      <c r="B865" s="1" t="s">
        <v>67</v>
      </c>
      <c r="C865" s="1" t="s">
        <v>68</v>
      </c>
      <c r="D865" s="1" t="s">
        <v>46</v>
      </c>
      <c r="E865" s="1" t="s">
        <v>3812</v>
      </c>
      <c r="F865" s="1"/>
      <c r="G865" s="1" t="s">
        <v>70</v>
      </c>
      <c r="H865" s="1" t="s">
        <v>93</v>
      </c>
      <c r="I865" s="1">
        <v>65500.0</v>
      </c>
      <c r="J865" s="1"/>
      <c r="K865" s="1"/>
      <c r="L865" s="1" t="s">
        <v>106</v>
      </c>
      <c r="M865" s="1" t="s">
        <v>3813</v>
      </c>
      <c r="N865" s="1" t="s">
        <v>95</v>
      </c>
      <c r="O865" s="1" t="s">
        <v>96</v>
      </c>
      <c r="P865" s="2">
        <v>43798.7805555556</v>
      </c>
      <c r="Q865" s="1" t="s">
        <v>74</v>
      </c>
      <c r="R865" s="1"/>
      <c r="S865" s="1"/>
      <c r="T865" s="1">
        <v>2304400.0</v>
      </c>
      <c r="U865" s="1" t="s">
        <v>111</v>
      </c>
      <c r="V865" s="1" t="s">
        <v>112</v>
      </c>
      <c r="W865" s="1" t="s">
        <v>113</v>
      </c>
      <c r="X865" s="1"/>
      <c r="Y865" s="1" t="str">
        <f>"02007003938201965"</f>
        <v>02007003938201965</v>
      </c>
      <c r="Z865" s="1" t="s">
        <v>3814</v>
      </c>
      <c r="AA865" s="1" t="s">
        <v>3815</v>
      </c>
      <c r="AB865" s="1" t="str">
        <f>"***887993**"</f>
        <v>***887993**</v>
      </c>
      <c r="AC865" s="1"/>
      <c r="AD865" s="1" t="s">
        <v>116</v>
      </c>
      <c r="AE865" s="1"/>
      <c r="AF865" s="1">
        <v>0.0</v>
      </c>
      <c r="AG865" s="1">
        <v>0.0</v>
      </c>
      <c r="AH865" s="1" t="s">
        <v>1269</v>
      </c>
      <c r="AI865" s="1"/>
      <c r="AJ865" s="1"/>
      <c r="AK865" s="1"/>
      <c r="AL865" s="1" t="s">
        <v>118</v>
      </c>
      <c r="AM865" s="1"/>
      <c r="AN865" s="1"/>
      <c r="AO865" s="2">
        <v>43878.493287037</v>
      </c>
      <c r="AP865" s="2">
        <v>43878.493287037</v>
      </c>
      <c r="AQ865" s="1" t="s">
        <v>80</v>
      </c>
      <c r="AR865" s="1" t="s">
        <v>3805</v>
      </c>
      <c r="AS865" s="1"/>
      <c r="AT865" s="2">
        <v>44269.931099537</v>
      </c>
    </row>
    <row r="866" ht="13.5" customHeight="1">
      <c r="A866" s="1">
        <v>2034515.0</v>
      </c>
      <c r="B866" s="1" t="s">
        <v>67</v>
      </c>
      <c r="C866" s="1" t="s">
        <v>68</v>
      </c>
      <c r="D866" s="1" t="s">
        <v>46</v>
      </c>
      <c r="E866" s="1" t="s">
        <v>3816</v>
      </c>
      <c r="F866" s="1"/>
      <c r="G866" s="1" t="s">
        <v>70</v>
      </c>
      <c r="H866" s="1" t="s">
        <v>93</v>
      </c>
      <c r="I866" s="1">
        <v>65500.0</v>
      </c>
      <c r="J866" s="1"/>
      <c r="K866" s="1"/>
      <c r="L866" s="1" t="s">
        <v>106</v>
      </c>
      <c r="M866" s="1" t="s">
        <v>3817</v>
      </c>
      <c r="N866" s="1" t="s">
        <v>95</v>
      </c>
      <c r="O866" s="1" t="s">
        <v>96</v>
      </c>
      <c r="P866" s="2">
        <v>43798.7722222222</v>
      </c>
      <c r="Q866" s="1" t="s">
        <v>74</v>
      </c>
      <c r="R866" s="1"/>
      <c r="S866" s="1"/>
      <c r="T866" s="1">
        <v>2304400.0</v>
      </c>
      <c r="U866" s="1" t="s">
        <v>111</v>
      </c>
      <c r="V866" s="1" t="s">
        <v>112</v>
      </c>
      <c r="W866" s="1" t="s">
        <v>113</v>
      </c>
      <c r="X866" s="1"/>
      <c r="Y866" s="1" t="str">
        <f>"02007003937201911"</f>
        <v>02007003937201911</v>
      </c>
      <c r="Z866" s="1" t="s">
        <v>3814</v>
      </c>
      <c r="AA866" s="1" t="s">
        <v>3818</v>
      </c>
      <c r="AB866" s="1" t="str">
        <f>"***739463**"</f>
        <v>***739463**</v>
      </c>
      <c r="AC866" s="1"/>
      <c r="AD866" s="1" t="s">
        <v>116</v>
      </c>
      <c r="AE866" s="1"/>
      <c r="AF866" s="1">
        <v>0.0</v>
      </c>
      <c r="AG866" s="1">
        <v>0.0</v>
      </c>
      <c r="AH866" s="1" t="s">
        <v>3819</v>
      </c>
      <c r="AI866" s="1"/>
      <c r="AJ866" s="1"/>
      <c r="AK866" s="1"/>
      <c r="AL866" s="1" t="s">
        <v>118</v>
      </c>
      <c r="AM866" s="1"/>
      <c r="AN866" s="1"/>
      <c r="AO866" s="2">
        <v>43880.6206481482</v>
      </c>
      <c r="AP866" s="2">
        <v>43880.6206481482</v>
      </c>
      <c r="AQ866" s="1" t="s">
        <v>80</v>
      </c>
      <c r="AR866" s="1" t="s">
        <v>3805</v>
      </c>
      <c r="AS866" s="1"/>
      <c r="AT866" s="2">
        <v>44269.931099537</v>
      </c>
    </row>
    <row r="867" ht="13.5" customHeight="1">
      <c r="A867" s="1">
        <v>2035090.0</v>
      </c>
      <c r="B867" s="1" t="s">
        <v>67</v>
      </c>
      <c r="C867" s="1" t="s">
        <v>68</v>
      </c>
      <c r="D867" s="1" t="s">
        <v>46</v>
      </c>
      <c r="E867" s="1" t="s">
        <v>3820</v>
      </c>
      <c r="F867" s="1"/>
      <c r="G867" s="1" t="s">
        <v>70</v>
      </c>
      <c r="H867" s="1" t="s">
        <v>50</v>
      </c>
      <c r="I867" s="1">
        <v>65500.0</v>
      </c>
      <c r="J867" s="1"/>
      <c r="K867" s="1"/>
      <c r="L867" s="1" t="s">
        <v>106</v>
      </c>
      <c r="M867" s="1" t="s">
        <v>3813</v>
      </c>
      <c r="N867" s="1" t="s">
        <v>95</v>
      </c>
      <c r="O867" s="1" t="s">
        <v>96</v>
      </c>
      <c r="P867" s="2">
        <v>43798.75</v>
      </c>
      <c r="Q867" s="1" t="s">
        <v>74</v>
      </c>
      <c r="R867" s="3">
        <v>43798.0</v>
      </c>
      <c r="S867" s="1"/>
      <c r="T867" s="1">
        <v>2304400.0</v>
      </c>
      <c r="U867" s="1" t="s">
        <v>111</v>
      </c>
      <c r="V867" s="1" t="s">
        <v>112</v>
      </c>
      <c r="W867" s="1" t="s">
        <v>113</v>
      </c>
      <c r="X867" s="1"/>
      <c r="Y867" s="1" t="str">
        <f>"02007000851202070"</f>
        <v>02007000851202070</v>
      </c>
      <c r="Z867" s="1" t="s">
        <v>98</v>
      </c>
      <c r="AA867" s="1" t="s">
        <v>3821</v>
      </c>
      <c r="AB867" s="1" t="str">
        <f>"***587093**"</f>
        <v>***587093**</v>
      </c>
      <c r="AC867" s="1"/>
      <c r="AD867" s="1"/>
      <c r="AE867" s="1"/>
      <c r="AF867" s="1">
        <v>-38.623608</v>
      </c>
      <c r="AG867" s="1">
        <v>-3.780833</v>
      </c>
      <c r="AH867" s="1" t="s">
        <v>3819</v>
      </c>
      <c r="AI867" s="1"/>
      <c r="AJ867" s="1" t="s">
        <v>106</v>
      </c>
      <c r="AK867" s="1"/>
      <c r="AL867" s="1" t="s">
        <v>79</v>
      </c>
      <c r="AM867" s="1" t="s">
        <v>65</v>
      </c>
      <c r="AN867" s="1" t="s">
        <v>3804</v>
      </c>
      <c r="AO867" s="2">
        <v>43894.0</v>
      </c>
      <c r="AP867" s="2">
        <v>43894.688287037</v>
      </c>
      <c r="AQ867" s="1" t="s">
        <v>80</v>
      </c>
      <c r="AR867" s="1" t="s">
        <v>3822</v>
      </c>
      <c r="AS867" s="1"/>
      <c r="AT867" s="2">
        <v>44269.931099537</v>
      </c>
    </row>
    <row r="868" ht="13.5" customHeight="1">
      <c r="A868" s="1">
        <v>2035698.0</v>
      </c>
      <c r="B868" s="1" t="s">
        <v>67</v>
      </c>
      <c r="C868" s="1" t="s">
        <v>68</v>
      </c>
      <c r="D868" s="1" t="s">
        <v>46</v>
      </c>
      <c r="E868" s="1" t="s">
        <v>3823</v>
      </c>
      <c r="F868" s="1"/>
      <c r="G868" s="1" t="s">
        <v>70</v>
      </c>
      <c r="H868" s="1" t="s">
        <v>50</v>
      </c>
      <c r="I868" s="1">
        <v>65500.0</v>
      </c>
      <c r="J868" s="1"/>
      <c r="K868" s="1"/>
      <c r="L868" s="1" t="s">
        <v>106</v>
      </c>
      <c r="M868" s="1" t="s">
        <v>3801</v>
      </c>
      <c r="N868" s="1" t="s">
        <v>95</v>
      </c>
      <c r="O868" s="1" t="s">
        <v>96</v>
      </c>
      <c r="P868" s="2">
        <v>43798.75</v>
      </c>
      <c r="Q868" s="1" t="s">
        <v>74</v>
      </c>
      <c r="R868" s="3">
        <v>43798.0</v>
      </c>
      <c r="S868" s="1"/>
      <c r="T868" s="1">
        <v>2304400.0</v>
      </c>
      <c r="U868" s="1" t="s">
        <v>111</v>
      </c>
      <c r="V868" s="1" t="s">
        <v>112</v>
      </c>
      <c r="W868" s="1" t="s">
        <v>113</v>
      </c>
      <c r="X868" s="1"/>
      <c r="Y868" s="1" t="str">
        <f>"02007001105202001"</f>
        <v>02007001105202001</v>
      </c>
      <c r="Z868" s="1" t="s">
        <v>98</v>
      </c>
      <c r="AA868" s="1" t="s">
        <v>3824</v>
      </c>
      <c r="AB868" s="1" t="str">
        <f>"***578543**"</f>
        <v>***578543**</v>
      </c>
      <c r="AC868" s="1"/>
      <c r="AD868" s="1"/>
      <c r="AE868" s="1"/>
      <c r="AF868" s="1">
        <v>-38.623608</v>
      </c>
      <c r="AG868" s="1">
        <v>-3.780833</v>
      </c>
      <c r="AH868" s="1" t="s">
        <v>3803</v>
      </c>
      <c r="AI868" s="1"/>
      <c r="AJ868" s="1" t="s">
        <v>106</v>
      </c>
      <c r="AK868" s="1"/>
      <c r="AL868" s="1" t="s">
        <v>79</v>
      </c>
      <c r="AM868" s="1" t="s">
        <v>65</v>
      </c>
      <c r="AN868" s="1" t="s">
        <v>3804</v>
      </c>
      <c r="AO868" s="2">
        <v>43914.0</v>
      </c>
      <c r="AP868" s="2">
        <v>43914.6737962963</v>
      </c>
      <c r="AQ868" s="1" t="s">
        <v>80</v>
      </c>
      <c r="AR868" s="1" t="s">
        <v>3822</v>
      </c>
      <c r="AS868" s="1"/>
      <c r="AT868" s="2">
        <v>44269.931099537</v>
      </c>
    </row>
    <row r="869" ht="13.5" customHeight="1">
      <c r="A869" s="1">
        <v>2037335.0</v>
      </c>
      <c r="B869" s="1" t="s">
        <v>67</v>
      </c>
      <c r="C869" s="1" t="s">
        <v>68</v>
      </c>
      <c r="D869" s="1" t="s">
        <v>46</v>
      </c>
      <c r="E869" s="1" t="s">
        <v>3825</v>
      </c>
      <c r="F869" s="1"/>
      <c r="G869" s="1" t="s">
        <v>70</v>
      </c>
      <c r="H869" s="1" t="s">
        <v>50</v>
      </c>
      <c r="I869" s="1">
        <v>105000.0</v>
      </c>
      <c r="J869" s="1"/>
      <c r="K869" s="1"/>
      <c r="L869" s="1" t="s">
        <v>65</v>
      </c>
      <c r="M869" s="1" t="s">
        <v>3049</v>
      </c>
      <c r="N869" s="1" t="s">
        <v>283</v>
      </c>
      <c r="O869" s="1" t="s">
        <v>978</v>
      </c>
      <c r="P869" s="2">
        <v>43798.75</v>
      </c>
      <c r="Q869" s="1" t="s">
        <v>74</v>
      </c>
      <c r="R869" s="1"/>
      <c r="S869" s="1"/>
      <c r="T869" s="1">
        <v>3550308.0</v>
      </c>
      <c r="U869" s="1" t="s">
        <v>607</v>
      </c>
      <c r="V869" s="1" t="s">
        <v>58</v>
      </c>
      <c r="W869" s="1" t="s">
        <v>59</v>
      </c>
      <c r="X869" s="1"/>
      <c r="Y869" s="1" t="str">
        <f>"02001035382201926"</f>
        <v>02001035382201926</v>
      </c>
      <c r="Z869" s="1" t="s">
        <v>980</v>
      </c>
      <c r="AA869" s="1" t="s">
        <v>3808</v>
      </c>
      <c r="AB869" s="1" t="str">
        <f>"61074829000123"</f>
        <v>61074829000123</v>
      </c>
      <c r="AC869" s="1"/>
      <c r="AD869" s="1" t="s">
        <v>116</v>
      </c>
      <c r="AE869" s="1"/>
      <c r="AF869" s="1">
        <v>-46.733056</v>
      </c>
      <c r="AG869" s="1">
        <v>-23.515</v>
      </c>
      <c r="AH869" s="1" t="s">
        <v>3826</v>
      </c>
      <c r="AI869" s="1"/>
      <c r="AJ869" s="1" t="s">
        <v>172</v>
      </c>
      <c r="AK869" s="1"/>
      <c r="AL869" s="1" t="s">
        <v>118</v>
      </c>
      <c r="AM869" s="1" t="s">
        <v>65</v>
      </c>
      <c r="AN869" s="1" t="s">
        <v>983</v>
      </c>
      <c r="AO869" s="2">
        <v>43992.0</v>
      </c>
      <c r="AP869" s="2">
        <v>43992.54</v>
      </c>
      <c r="AQ869" s="1" t="s">
        <v>80</v>
      </c>
      <c r="AR869" s="1" t="s">
        <v>1050</v>
      </c>
      <c r="AS869" s="1" t="s">
        <v>3603</v>
      </c>
      <c r="AT869" s="2">
        <v>44269.931099537</v>
      </c>
    </row>
    <row r="870" ht="13.5" customHeight="1">
      <c r="A870" s="1">
        <v>2037596.0</v>
      </c>
      <c r="B870" s="1" t="s">
        <v>67</v>
      </c>
      <c r="C870" s="1" t="s">
        <v>68</v>
      </c>
      <c r="D870" s="1" t="s">
        <v>46</v>
      </c>
      <c r="E870" s="1" t="s">
        <v>3827</v>
      </c>
      <c r="F870" s="1"/>
      <c r="G870" s="1" t="s">
        <v>70</v>
      </c>
      <c r="H870" s="1" t="s">
        <v>50</v>
      </c>
      <c r="I870" s="1">
        <v>25000.0</v>
      </c>
      <c r="J870" s="1"/>
      <c r="K870" s="1"/>
      <c r="L870" s="1" t="s">
        <v>65</v>
      </c>
      <c r="M870" s="1" t="s">
        <v>3786</v>
      </c>
      <c r="N870" s="1" t="s">
        <v>283</v>
      </c>
      <c r="O870" s="1" t="s">
        <v>978</v>
      </c>
      <c r="P870" s="2">
        <v>43798.75</v>
      </c>
      <c r="Q870" s="1" t="s">
        <v>74</v>
      </c>
      <c r="R870" s="1"/>
      <c r="S870" s="1"/>
      <c r="T870" s="1">
        <v>3509205.0</v>
      </c>
      <c r="U870" s="1" t="s">
        <v>2443</v>
      </c>
      <c r="V870" s="1" t="s">
        <v>58</v>
      </c>
      <c r="W870" s="1" t="s">
        <v>59</v>
      </c>
      <c r="X870" s="1"/>
      <c r="Y870" s="1" t="str">
        <f>"02001034410201998"</f>
        <v>02001034410201998</v>
      </c>
      <c r="Z870" s="1" t="s">
        <v>980</v>
      </c>
      <c r="AA870" s="1" t="s">
        <v>3828</v>
      </c>
      <c r="AB870" s="1" t="str">
        <f>"15275870000140"</f>
        <v>15275870000140</v>
      </c>
      <c r="AC870" s="1"/>
      <c r="AD870" s="1" t="s">
        <v>116</v>
      </c>
      <c r="AE870" s="1"/>
      <c r="AF870" s="1">
        <v>-46.876944</v>
      </c>
      <c r="AG870" s="1">
        <v>-23.356111</v>
      </c>
      <c r="AH870" s="1" t="s">
        <v>3829</v>
      </c>
      <c r="AI870" s="1"/>
      <c r="AJ870" s="1" t="s">
        <v>172</v>
      </c>
      <c r="AK870" s="1"/>
      <c r="AL870" s="1" t="s">
        <v>118</v>
      </c>
      <c r="AM870" s="1" t="s">
        <v>65</v>
      </c>
      <c r="AN870" s="1" t="s">
        <v>983</v>
      </c>
      <c r="AO870" s="2">
        <v>44004.0</v>
      </c>
      <c r="AP870" s="2">
        <v>44004.4536342593</v>
      </c>
      <c r="AQ870" s="1" t="s">
        <v>80</v>
      </c>
      <c r="AR870" s="1" t="s">
        <v>462</v>
      </c>
      <c r="AS870" s="1" t="s">
        <v>2673</v>
      </c>
      <c r="AT870" s="2">
        <v>44269.931099537</v>
      </c>
    </row>
    <row r="871" ht="13.5" customHeight="1">
      <c r="A871" s="1"/>
      <c r="B871" s="1" t="s">
        <v>46</v>
      </c>
      <c r="C871" s="1" t="s">
        <v>47</v>
      </c>
      <c r="D871" s="1"/>
      <c r="E871" s="1" t="s">
        <v>3830</v>
      </c>
      <c r="F871" s="1"/>
      <c r="G871" s="1" t="s">
        <v>49</v>
      </c>
      <c r="H871" s="1" t="s">
        <v>50</v>
      </c>
      <c r="I871" s="1">
        <v>165000.0</v>
      </c>
      <c r="J871" s="1"/>
      <c r="K871" s="1" t="s">
        <v>51</v>
      </c>
      <c r="L871" s="1"/>
      <c r="M871" s="1" t="s">
        <v>3786</v>
      </c>
      <c r="N871" s="1" t="s">
        <v>977</v>
      </c>
      <c r="O871" s="1" t="s">
        <v>978</v>
      </c>
      <c r="P871" s="2">
        <v>43798.746099537</v>
      </c>
      <c r="Q871" s="1" t="s">
        <v>74</v>
      </c>
      <c r="R871" s="1"/>
      <c r="S871" s="1"/>
      <c r="T871" s="1">
        <v>3549904.0</v>
      </c>
      <c r="U871" s="1" t="s">
        <v>1346</v>
      </c>
      <c r="V871" s="1" t="s">
        <v>58</v>
      </c>
      <c r="W871" s="1" t="s">
        <v>59</v>
      </c>
      <c r="X871" s="1"/>
      <c r="Y871" s="1"/>
      <c r="Z871" s="1" t="s">
        <v>980</v>
      </c>
      <c r="AA871" s="1" t="s">
        <v>3831</v>
      </c>
      <c r="AB871" s="1" t="str">
        <f>"15642942000140"</f>
        <v>15642942000140</v>
      </c>
      <c r="AC871" s="1"/>
      <c r="AD871" s="1" t="s">
        <v>149</v>
      </c>
      <c r="AE871" s="1"/>
      <c r="AF871" s="1">
        <v>-45.887222</v>
      </c>
      <c r="AG871" s="1">
        <v>-23.179167</v>
      </c>
      <c r="AH871" s="1" t="s">
        <v>3832</v>
      </c>
      <c r="AI871" s="1"/>
      <c r="AJ871" s="1" t="s">
        <v>172</v>
      </c>
      <c r="AK871" s="1"/>
      <c r="AL871" s="1"/>
      <c r="AM871" s="1" t="s">
        <v>65</v>
      </c>
      <c r="AN871" s="1" t="s">
        <v>983</v>
      </c>
      <c r="AO871" s="1"/>
      <c r="AP871" s="2">
        <v>44014.8122453704</v>
      </c>
      <c r="AQ871" s="1"/>
      <c r="AR871" s="1" t="s">
        <v>229</v>
      </c>
      <c r="AS871" s="1" t="s">
        <v>3811</v>
      </c>
      <c r="AT871" s="2">
        <v>44269.931099537</v>
      </c>
    </row>
    <row r="872" ht="13.5" customHeight="1">
      <c r="A872" s="1">
        <v>2034461.0</v>
      </c>
      <c r="B872" s="1" t="s">
        <v>67</v>
      </c>
      <c r="C872" s="1" t="s">
        <v>68</v>
      </c>
      <c r="D872" s="1" t="s">
        <v>46</v>
      </c>
      <c r="E872" s="1" t="s">
        <v>3833</v>
      </c>
      <c r="F872" s="1"/>
      <c r="G872" s="1" t="s">
        <v>70</v>
      </c>
      <c r="H872" s="1" t="s">
        <v>93</v>
      </c>
      <c r="I872" s="1">
        <v>65500.0</v>
      </c>
      <c r="J872" s="1"/>
      <c r="K872" s="1"/>
      <c r="L872" s="1" t="s">
        <v>106</v>
      </c>
      <c r="M872" s="1" t="s">
        <v>3834</v>
      </c>
      <c r="N872" s="1" t="s">
        <v>95</v>
      </c>
      <c r="O872" s="1" t="s">
        <v>96</v>
      </c>
      <c r="P872" s="2">
        <v>43798.7430555556</v>
      </c>
      <c r="Q872" s="1" t="s">
        <v>74</v>
      </c>
      <c r="R872" s="1"/>
      <c r="S872" s="1"/>
      <c r="T872" s="1">
        <v>2304400.0</v>
      </c>
      <c r="U872" s="1" t="s">
        <v>111</v>
      </c>
      <c r="V872" s="1" t="s">
        <v>112</v>
      </c>
      <c r="W872" s="1" t="s">
        <v>113</v>
      </c>
      <c r="X872" s="1"/>
      <c r="Y872" s="1" t="str">
        <f>"02007003931201943"</f>
        <v>02007003931201943</v>
      </c>
      <c r="Z872" s="1" t="s">
        <v>1267</v>
      </c>
      <c r="AA872" s="1" t="s">
        <v>3835</v>
      </c>
      <c r="AB872" s="1" t="str">
        <f>"***517703**"</f>
        <v>***517703**</v>
      </c>
      <c r="AC872" s="1"/>
      <c r="AD872" s="1" t="s">
        <v>116</v>
      </c>
      <c r="AE872" s="1"/>
      <c r="AF872" s="1">
        <v>0.0</v>
      </c>
      <c r="AG872" s="1">
        <v>0.0</v>
      </c>
      <c r="AH872" s="1" t="s">
        <v>3819</v>
      </c>
      <c r="AI872" s="1"/>
      <c r="AJ872" s="1"/>
      <c r="AK872" s="1"/>
      <c r="AL872" s="1" t="s">
        <v>118</v>
      </c>
      <c r="AM872" s="1"/>
      <c r="AN872" s="1"/>
      <c r="AO872" s="2">
        <v>43872.3456944445</v>
      </c>
      <c r="AP872" s="2">
        <v>43872.3456944445</v>
      </c>
      <c r="AQ872" s="1" t="s">
        <v>80</v>
      </c>
      <c r="AR872" s="1" t="s">
        <v>3805</v>
      </c>
      <c r="AS872" s="1"/>
      <c r="AT872" s="2">
        <v>44269.931099537</v>
      </c>
    </row>
    <row r="873" ht="13.5" customHeight="1">
      <c r="A873" s="1">
        <v>2034476.0</v>
      </c>
      <c r="B873" s="1" t="s">
        <v>67</v>
      </c>
      <c r="C873" s="1" t="s">
        <v>68</v>
      </c>
      <c r="D873" s="1" t="s">
        <v>46</v>
      </c>
      <c r="E873" s="1" t="s">
        <v>3836</v>
      </c>
      <c r="F873" s="1"/>
      <c r="G873" s="1" t="s">
        <v>70</v>
      </c>
      <c r="H873" s="1" t="s">
        <v>93</v>
      </c>
      <c r="I873" s="1">
        <v>53500.0</v>
      </c>
      <c r="J873" s="1"/>
      <c r="K873" s="1"/>
      <c r="L873" s="1" t="s">
        <v>106</v>
      </c>
      <c r="M873" s="1" t="s">
        <v>3837</v>
      </c>
      <c r="N873" s="1" t="s">
        <v>95</v>
      </c>
      <c r="O873" s="1" t="s">
        <v>96</v>
      </c>
      <c r="P873" s="2">
        <v>43798.7395833333</v>
      </c>
      <c r="Q873" s="1" t="s">
        <v>74</v>
      </c>
      <c r="R873" s="1"/>
      <c r="S873" s="1"/>
      <c r="T873" s="1">
        <v>2304400.0</v>
      </c>
      <c r="U873" s="1" t="s">
        <v>111</v>
      </c>
      <c r="V873" s="1" t="s">
        <v>112</v>
      </c>
      <c r="W873" s="1" t="s">
        <v>113</v>
      </c>
      <c r="X873" s="1"/>
      <c r="Y873" s="1" t="str">
        <f>"02007003927201985"</f>
        <v>02007003927201985</v>
      </c>
      <c r="Z873" s="1" t="s">
        <v>1267</v>
      </c>
      <c r="AA873" s="1" t="s">
        <v>3838</v>
      </c>
      <c r="AB873" s="1" t="str">
        <f>"***026223**"</f>
        <v>***026223**</v>
      </c>
      <c r="AC873" s="1"/>
      <c r="AD873" s="1" t="s">
        <v>116</v>
      </c>
      <c r="AE873" s="1"/>
      <c r="AF873" s="1">
        <v>0.0</v>
      </c>
      <c r="AG873" s="1">
        <v>0.0</v>
      </c>
      <c r="AH873" s="1" t="s">
        <v>3819</v>
      </c>
      <c r="AI873" s="1"/>
      <c r="AJ873" s="1"/>
      <c r="AK873" s="1"/>
      <c r="AL873" s="1" t="s">
        <v>118</v>
      </c>
      <c r="AM873" s="1"/>
      <c r="AN873" s="1"/>
      <c r="AO873" s="2">
        <v>43874.485462963</v>
      </c>
      <c r="AP873" s="2">
        <v>43874.485462963</v>
      </c>
      <c r="AQ873" s="1" t="s">
        <v>80</v>
      </c>
      <c r="AR873" s="1" t="s">
        <v>1270</v>
      </c>
      <c r="AS873" s="1"/>
      <c r="AT873" s="2">
        <v>44269.931099537</v>
      </c>
    </row>
    <row r="874" ht="13.5" customHeight="1">
      <c r="A874" s="1">
        <v>2035117.0</v>
      </c>
      <c r="B874" s="1" t="s">
        <v>67</v>
      </c>
      <c r="C874" s="1" t="s">
        <v>68</v>
      </c>
      <c r="D874" s="1" t="s">
        <v>46</v>
      </c>
      <c r="E874" s="1" t="s">
        <v>3839</v>
      </c>
      <c r="F874" s="1"/>
      <c r="G874" s="1" t="s">
        <v>70</v>
      </c>
      <c r="H874" s="1" t="s">
        <v>93</v>
      </c>
      <c r="I874" s="1">
        <v>65500.0</v>
      </c>
      <c r="J874" s="1"/>
      <c r="K874" s="1"/>
      <c r="L874" s="1" t="s">
        <v>106</v>
      </c>
      <c r="M874" s="1" t="s">
        <v>3801</v>
      </c>
      <c r="N874" s="1" t="s">
        <v>95</v>
      </c>
      <c r="O874" s="1" t="s">
        <v>96</v>
      </c>
      <c r="P874" s="2">
        <v>43798.7256944444</v>
      </c>
      <c r="Q874" s="1" t="s">
        <v>74</v>
      </c>
      <c r="R874" s="1"/>
      <c r="S874" s="1"/>
      <c r="T874" s="1">
        <v>2304400.0</v>
      </c>
      <c r="U874" s="1" t="s">
        <v>111</v>
      </c>
      <c r="V874" s="1" t="s">
        <v>112</v>
      </c>
      <c r="W874" s="1" t="s">
        <v>113</v>
      </c>
      <c r="X874" s="1"/>
      <c r="Y874" s="1" t="str">
        <f>"02007003930201907"</f>
        <v>02007003930201907</v>
      </c>
      <c r="Z874" s="1" t="s">
        <v>1267</v>
      </c>
      <c r="AA874" s="1" t="s">
        <v>3840</v>
      </c>
      <c r="AB874" s="1" t="str">
        <f>"***175523**"</f>
        <v>***175523**</v>
      </c>
      <c r="AC874" s="1"/>
      <c r="AD874" s="1" t="s">
        <v>116</v>
      </c>
      <c r="AE874" s="1"/>
      <c r="AF874" s="1">
        <v>0.0</v>
      </c>
      <c r="AG874" s="1">
        <v>0.0</v>
      </c>
      <c r="AH874" s="1" t="s">
        <v>3819</v>
      </c>
      <c r="AI874" s="1"/>
      <c r="AJ874" s="1"/>
      <c r="AK874" s="1"/>
      <c r="AL874" s="1" t="s">
        <v>118</v>
      </c>
      <c r="AM874" s="1"/>
      <c r="AN874" s="1"/>
      <c r="AO874" s="2">
        <v>43895.4032523148</v>
      </c>
      <c r="AP874" s="2">
        <v>43895.4032523148</v>
      </c>
      <c r="AQ874" s="1" t="s">
        <v>80</v>
      </c>
      <c r="AR874" s="1" t="s">
        <v>3805</v>
      </c>
      <c r="AS874" s="1"/>
      <c r="AT874" s="2">
        <v>44269.931099537</v>
      </c>
    </row>
    <row r="875" ht="13.5" customHeight="1">
      <c r="A875" s="1"/>
      <c r="B875" s="1" t="s">
        <v>46</v>
      </c>
      <c r="C875" s="1" t="s">
        <v>47</v>
      </c>
      <c r="D875" s="1"/>
      <c r="E875" s="1" t="s">
        <v>3841</v>
      </c>
      <c r="F875" s="1"/>
      <c r="G875" s="1" t="s">
        <v>49</v>
      </c>
      <c r="H875" s="1" t="s">
        <v>50</v>
      </c>
      <c r="I875" s="1">
        <v>85000.0</v>
      </c>
      <c r="J875" s="1"/>
      <c r="K875" s="1" t="s">
        <v>51</v>
      </c>
      <c r="L875" s="1"/>
      <c r="M875" s="1" t="s">
        <v>3786</v>
      </c>
      <c r="N875" s="1" t="s">
        <v>977</v>
      </c>
      <c r="O875" s="1" t="s">
        <v>978</v>
      </c>
      <c r="P875" s="2">
        <v>43798.7210069444</v>
      </c>
      <c r="Q875" s="1" t="s">
        <v>74</v>
      </c>
      <c r="R875" s="1"/>
      <c r="S875" s="1"/>
      <c r="T875" s="1">
        <v>4314902.0</v>
      </c>
      <c r="U875" s="1" t="s">
        <v>2671</v>
      </c>
      <c r="V875" s="1" t="s">
        <v>145</v>
      </c>
      <c r="W875" s="1" t="s">
        <v>59</v>
      </c>
      <c r="X875" s="1"/>
      <c r="Y875" s="1"/>
      <c r="Z875" s="1" t="s">
        <v>980</v>
      </c>
      <c r="AA875" s="1" t="s">
        <v>3842</v>
      </c>
      <c r="AB875" s="1" t="str">
        <f>"90050097000130"</f>
        <v>90050097000130</v>
      </c>
      <c r="AC875" s="1"/>
      <c r="AD875" s="1" t="s">
        <v>149</v>
      </c>
      <c r="AE875" s="1"/>
      <c r="AF875" s="1">
        <v>-51.228611</v>
      </c>
      <c r="AG875" s="1">
        <v>-30.027777</v>
      </c>
      <c r="AH875" s="1" t="s">
        <v>3843</v>
      </c>
      <c r="AI875" s="1"/>
      <c r="AJ875" s="1" t="s">
        <v>172</v>
      </c>
      <c r="AK875" s="1"/>
      <c r="AL875" s="1"/>
      <c r="AM875" s="1" t="s">
        <v>65</v>
      </c>
      <c r="AN875" s="1" t="s">
        <v>983</v>
      </c>
      <c r="AO875" s="1"/>
      <c r="AP875" s="2">
        <v>44014.812337963</v>
      </c>
      <c r="AQ875" s="1"/>
      <c r="AR875" s="1" t="s">
        <v>229</v>
      </c>
      <c r="AS875" s="1" t="s">
        <v>3789</v>
      </c>
      <c r="AT875" s="2">
        <v>44269.931099537</v>
      </c>
    </row>
    <row r="876" ht="13.5" customHeight="1">
      <c r="A876" s="1"/>
      <c r="B876" s="1" t="s">
        <v>46</v>
      </c>
      <c r="C876" s="1" t="s">
        <v>47</v>
      </c>
      <c r="D876" s="1"/>
      <c r="E876" s="1" t="s">
        <v>3844</v>
      </c>
      <c r="F876" s="1"/>
      <c r="G876" s="1" t="s">
        <v>49</v>
      </c>
      <c r="H876" s="1" t="s">
        <v>50</v>
      </c>
      <c r="I876" s="1">
        <v>85000.0</v>
      </c>
      <c r="J876" s="1"/>
      <c r="K876" s="1" t="s">
        <v>51</v>
      </c>
      <c r="L876" s="1"/>
      <c r="M876" s="1" t="s">
        <v>976</v>
      </c>
      <c r="N876" s="1" t="s">
        <v>977</v>
      </c>
      <c r="O876" s="1" t="s">
        <v>978</v>
      </c>
      <c r="P876" s="2">
        <v>43798.7166087963</v>
      </c>
      <c r="Q876" s="1" t="s">
        <v>74</v>
      </c>
      <c r="R876" s="1"/>
      <c r="S876" s="1"/>
      <c r="T876" s="1">
        <v>3550308.0</v>
      </c>
      <c r="U876" s="1" t="s">
        <v>607</v>
      </c>
      <c r="V876" s="1" t="s">
        <v>58</v>
      </c>
      <c r="W876" s="1" t="s">
        <v>59</v>
      </c>
      <c r="X876" s="1"/>
      <c r="Y876" s="1"/>
      <c r="Z876" s="1" t="s">
        <v>980</v>
      </c>
      <c r="AA876" s="1" t="s">
        <v>3845</v>
      </c>
      <c r="AB876" s="1" t="str">
        <f>"53382545000176"</f>
        <v>53382545000176</v>
      </c>
      <c r="AC876" s="1"/>
      <c r="AD876" s="1" t="s">
        <v>149</v>
      </c>
      <c r="AE876" s="1"/>
      <c r="AF876" s="1">
        <v>-46.717224</v>
      </c>
      <c r="AG876" s="1">
        <v>-23.782778</v>
      </c>
      <c r="AH876" s="1" t="s">
        <v>982</v>
      </c>
      <c r="AI876" s="1"/>
      <c r="AJ876" s="1" t="s">
        <v>172</v>
      </c>
      <c r="AK876" s="1"/>
      <c r="AL876" s="1"/>
      <c r="AM876" s="1" t="s">
        <v>65</v>
      </c>
      <c r="AN876" s="1" t="s">
        <v>983</v>
      </c>
      <c r="AO876" s="1"/>
      <c r="AP876" s="2">
        <v>44008.7440972222</v>
      </c>
      <c r="AQ876" s="1"/>
      <c r="AR876" s="1" t="s">
        <v>984</v>
      </c>
      <c r="AS876" s="1" t="s">
        <v>3846</v>
      </c>
      <c r="AT876" s="2">
        <v>44269.931099537</v>
      </c>
    </row>
    <row r="877" ht="13.5" customHeight="1">
      <c r="A877" s="1">
        <v>2034481.0</v>
      </c>
      <c r="B877" s="1" t="s">
        <v>67</v>
      </c>
      <c r="C877" s="1" t="s">
        <v>68</v>
      </c>
      <c r="D877" s="1" t="s">
        <v>46</v>
      </c>
      <c r="E877" s="1" t="s">
        <v>3847</v>
      </c>
      <c r="F877" s="1"/>
      <c r="G877" s="1" t="s">
        <v>70</v>
      </c>
      <c r="H877" s="1" t="s">
        <v>93</v>
      </c>
      <c r="I877" s="1">
        <v>65500.0</v>
      </c>
      <c r="J877" s="1"/>
      <c r="K877" s="1"/>
      <c r="L877" s="1" t="s">
        <v>106</v>
      </c>
      <c r="M877" s="1" t="s">
        <v>3848</v>
      </c>
      <c r="N877" s="1" t="s">
        <v>95</v>
      </c>
      <c r="O877" s="1"/>
      <c r="P877" s="2">
        <v>43798.7152777778</v>
      </c>
      <c r="Q877" s="1" t="s">
        <v>74</v>
      </c>
      <c r="R877" s="1"/>
      <c r="S877" s="1"/>
      <c r="T877" s="1">
        <v>2304400.0</v>
      </c>
      <c r="U877" s="1" t="s">
        <v>111</v>
      </c>
      <c r="V877" s="1" t="s">
        <v>112</v>
      </c>
      <c r="W877" s="1" t="s">
        <v>113</v>
      </c>
      <c r="X877" s="1"/>
      <c r="Y877" s="1" t="str">
        <f>"02007003902201981"</f>
        <v>02007003902201981</v>
      </c>
      <c r="Z877" s="1" t="s">
        <v>3814</v>
      </c>
      <c r="AA877" s="1" t="s">
        <v>3824</v>
      </c>
      <c r="AB877" s="1" t="str">
        <f>"***578543**"</f>
        <v>***578543**</v>
      </c>
      <c r="AC877" s="1"/>
      <c r="AD877" s="1" t="s">
        <v>116</v>
      </c>
      <c r="AE877" s="1"/>
      <c r="AF877" s="1">
        <v>0.0</v>
      </c>
      <c r="AG877" s="1">
        <v>0.0</v>
      </c>
      <c r="AH877" s="1" t="s">
        <v>3819</v>
      </c>
      <c r="AI877" s="1"/>
      <c r="AJ877" s="1"/>
      <c r="AK877" s="1"/>
      <c r="AL877" s="1" t="s">
        <v>118</v>
      </c>
      <c r="AM877" s="1"/>
      <c r="AN877" s="1"/>
      <c r="AO877" s="2">
        <v>43874.7432291667</v>
      </c>
      <c r="AP877" s="2">
        <v>43874.7432291667</v>
      </c>
      <c r="AQ877" s="1" t="s">
        <v>80</v>
      </c>
      <c r="AR877" s="1" t="s">
        <v>3805</v>
      </c>
      <c r="AS877" s="1"/>
      <c r="AT877" s="2">
        <v>44269.931099537</v>
      </c>
    </row>
    <row r="878" ht="13.5" customHeight="1">
      <c r="A878" s="1">
        <v>2034518.0</v>
      </c>
      <c r="B878" s="1" t="s">
        <v>67</v>
      </c>
      <c r="C878" s="1" t="s">
        <v>68</v>
      </c>
      <c r="D878" s="1" t="s">
        <v>46</v>
      </c>
      <c r="E878" s="1" t="s">
        <v>3849</v>
      </c>
      <c r="F878" s="1"/>
      <c r="G878" s="1" t="s">
        <v>70</v>
      </c>
      <c r="H878" s="1" t="s">
        <v>93</v>
      </c>
      <c r="I878" s="1">
        <v>65500.0</v>
      </c>
      <c r="J878" s="1"/>
      <c r="K878" s="1"/>
      <c r="L878" s="1" t="s">
        <v>106</v>
      </c>
      <c r="M878" s="1" t="s">
        <v>3850</v>
      </c>
      <c r="N878" s="1" t="s">
        <v>95</v>
      </c>
      <c r="O878" s="1" t="s">
        <v>96</v>
      </c>
      <c r="P878" s="2">
        <v>43798.7118055556</v>
      </c>
      <c r="Q878" s="1" t="s">
        <v>74</v>
      </c>
      <c r="R878" s="1"/>
      <c r="S878" s="1"/>
      <c r="T878" s="1">
        <v>2304400.0</v>
      </c>
      <c r="U878" s="1" t="s">
        <v>111</v>
      </c>
      <c r="V878" s="1" t="s">
        <v>112</v>
      </c>
      <c r="W878" s="1" t="s">
        <v>113</v>
      </c>
      <c r="X878" s="1"/>
      <c r="Y878" s="1" t="str">
        <f>"02007003901201937"</f>
        <v>02007003901201937</v>
      </c>
      <c r="Z878" s="1" t="s">
        <v>3814</v>
      </c>
      <c r="AA878" s="1" t="s">
        <v>3851</v>
      </c>
      <c r="AB878" s="1" t="str">
        <f>"***636113**"</f>
        <v>***636113**</v>
      </c>
      <c r="AC878" s="1"/>
      <c r="AD878" s="1" t="s">
        <v>116</v>
      </c>
      <c r="AE878" s="1"/>
      <c r="AF878" s="1">
        <v>0.0</v>
      </c>
      <c r="AG878" s="1">
        <v>0.0</v>
      </c>
      <c r="AH878" s="1" t="s">
        <v>3819</v>
      </c>
      <c r="AI878" s="1"/>
      <c r="AJ878" s="1"/>
      <c r="AK878" s="1"/>
      <c r="AL878" s="1" t="s">
        <v>118</v>
      </c>
      <c r="AM878" s="1"/>
      <c r="AN878" s="1"/>
      <c r="AO878" s="2">
        <v>43880.7330787037</v>
      </c>
      <c r="AP878" s="2">
        <v>43880.7330902778</v>
      </c>
      <c r="AQ878" s="1" t="s">
        <v>80</v>
      </c>
      <c r="AR878" s="1" t="s">
        <v>3805</v>
      </c>
      <c r="AS878" s="1"/>
      <c r="AT878" s="2">
        <v>44269.931099537</v>
      </c>
    </row>
    <row r="879" ht="13.5" customHeight="1">
      <c r="A879" s="1">
        <v>2035010.0</v>
      </c>
      <c r="B879" s="1" t="s">
        <v>67</v>
      </c>
      <c r="C879" s="1" t="s">
        <v>68</v>
      </c>
      <c r="D879" s="1" t="s">
        <v>46</v>
      </c>
      <c r="E879" s="1" t="s">
        <v>3852</v>
      </c>
      <c r="F879" s="1"/>
      <c r="G879" s="1" t="s">
        <v>70</v>
      </c>
      <c r="H879" s="1" t="s">
        <v>50</v>
      </c>
      <c r="I879" s="1">
        <v>65500.0</v>
      </c>
      <c r="J879" s="1"/>
      <c r="K879" s="1"/>
      <c r="L879" s="1" t="s">
        <v>106</v>
      </c>
      <c r="M879" s="1" t="s">
        <v>3813</v>
      </c>
      <c r="N879" s="1" t="s">
        <v>95</v>
      </c>
      <c r="O879" s="1" t="s">
        <v>96</v>
      </c>
      <c r="P879" s="2">
        <v>43798.7083333333</v>
      </c>
      <c r="Q879" s="1" t="s">
        <v>74</v>
      </c>
      <c r="R879" s="3">
        <v>43871.0</v>
      </c>
      <c r="S879" s="1"/>
      <c r="T879" s="1">
        <v>2304400.0</v>
      </c>
      <c r="U879" s="1" t="s">
        <v>111</v>
      </c>
      <c r="V879" s="1" t="s">
        <v>112</v>
      </c>
      <c r="W879" s="1" t="s">
        <v>113</v>
      </c>
      <c r="X879" s="1"/>
      <c r="Y879" s="1" t="str">
        <f>"02007003896201962"</f>
        <v>02007003896201962</v>
      </c>
      <c r="Z879" s="1" t="s">
        <v>98</v>
      </c>
      <c r="AA879" s="1" t="s">
        <v>3853</v>
      </c>
      <c r="AB879" s="1" t="str">
        <f>"***458263**"</f>
        <v>***458263**</v>
      </c>
      <c r="AC879" s="1"/>
      <c r="AD879" s="1" t="s">
        <v>116</v>
      </c>
      <c r="AE879" s="1"/>
      <c r="AF879" s="1">
        <v>-38.623611</v>
      </c>
      <c r="AG879" s="1">
        <v>-3.780833</v>
      </c>
      <c r="AH879" s="1" t="s">
        <v>3819</v>
      </c>
      <c r="AI879" s="1"/>
      <c r="AJ879" s="1" t="s">
        <v>106</v>
      </c>
      <c r="AK879" s="1"/>
      <c r="AL879" s="1" t="s">
        <v>118</v>
      </c>
      <c r="AM879" s="1" t="s">
        <v>65</v>
      </c>
      <c r="AN879" s="1" t="s">
        <v>3804</v>
      </c>
      <c r="AO879" s="2">
        <v>43893.0</v>
      </c>
      <c r="AP879" s="2">
        <v>43895.3436805556</v>
      </c>
      <c r="AQ879" s="1" t="s">
        <v>80</v>
      </c>
      <c r="AR879" s="1" t="s">
        <v>3805</v>
      </c>
      <c r="AS879" s="1"/>
      <c r="AT879" s="2">
        <v>44269.931099537</v>
      </c>
    </row>
    <row r="880" ht="13.5" customHeight="1">
      <c r="A880" s="1">
        <v>2035700.0</v>
      </c>
      <c r="B880" s="1" t="s">
        <v>67</v>
      </c>
      <c r="C880" s="1" t="s">
        <v>68</v>
      </c>
      <c r="D880" s="1" t="s">
        <v>46</v>
      </c>
      <c r="E880" s="1" t="s">
        <v>3854</v>
      </c>
      <c r="F880" s="1"/>
      <c r="G880" s="1" t="s">
        <v>70</v>
      </c>
      <c r="H880" s="1" t="s">
        <v>50</v>
      </c>
      <c r="I880" s="1">
        <v>65500.0</v>
      </c>
      <c r="J880" s="1"/>
      <c r="K880" s="1"/>
      <c r="L880" s="1" t="s">
        <v>106</v>
      </c>
      <c r="M880" s="1" t="s">
        <v>3813</v>
      </c>
      <c r="N880" s="1" t="s">
        <v>95</v>
      </c>
      <c r="O880" s="1" t="s">
        <v>96</v>
      </c>
      <c r="P880" s="2">
        <v>43798.7083333333</v>
      </c>
      <c r="Q880" s="1" t="s">
        <v>74</v>
      </c>
      <c r="R880" s="3">
        <v>43798.0</v>
      </c>
      <c r="S880" s="1"/>
      <c r="T880" s="1">
        <v>2304400.0</v>
      </c>
      <c r="U880" s="1" t="s">
        <v>111</v>
      </c>
      <c r="V880" s="1" t="s">
        <v>112</v>
      </c>
      <c r="W880" s="1" t="s">
        <v>113</v>
      </c>
      <c r="X880" s="1"/>
      <c r="Y880" s="1" t="str">
        <f>"02007003899201904"</f>
        <v>02007003899201904</v>
      </c>
      <c r="Z880" s="1" t="s">
        <v>98</v>
      </c>
      <c r="AA880" s="1" t="s">
        <v>3855</v>
      </c>
      <c r="AB880" s="1" t="str">
        <f>"***117154**"</f>
        <v>***117154**</v>
      </c>
      <c r="AC880" s="1"/>
      <c r="AD880" s="1" t="s">
        <v>116</v>
      </c>
      <c r="AE880" s="1"/>
      <c r="AF880" s="1">
        <v>-38.623611</v>
      </c>
      <c r="AG880" s="1">
        <v>-3.780833</v>
      </c>
      <c r="AH880" s="1" t="s">
        <v>3819</v>
      </c>
      <c r="AI880" s="1"/>
      <c r="AJ880" s="1" t="s">
        <v>106</v>
      </c>
      <c r="AK880" s="1"/>
      <c r="AL880" s="1" t="s">
        <v>118</v>
      </c>
      <c r="AM880" s="1" t="s">
        <v>65</v>
      </c>
      <c r="AN880" s="1" t="s">
        <v>3804</v>
      </c>
      <c r="AO880" s="2">
        <v>43914.0</v>
      </c>
      <c r="AP880" s="2">
        <v>44075.8310069444</v>
      </c>
      <c r="AQ880" s="1" t="s">
        <v>80</v>
      </c>
      <c r="AR880" s="1" t="s">
        <v>3822</v>
      </c>
      <c r="AS880" s="1"/>
      <c r="AT880" s="2">
        <v>44269.931099537</v>
      </c>
    </row>
    <row r="881" ht="13.5" customHeight="1">
      <c r="A881" s="1">
        <v>2037701.0</v>
      </c>
      <c r="B881" s="1" t="s">
        <v>67</v>
      </c>
      <c r="C881" s="1" t="s">
        <v>68</v>
      </c>
      <c r="D881" s="1" t="s">
        <v>46</v>
      </c>
      <c r="E881" s="1" t="s">
        <v>3856</v>
      </c>
      <c r="F881" s="1"/>
      <c r="G881" s="1" t="s">
        <v>70</v>
      </c>
      <c r="H881" s="1" t="s">
        <v>93</v>
      </c>
      <c r="I881" s="1">
        <v>4500.0</v>
      </c>
      <c r="J881" s="1"/>
      <c r="K881" s="1"/>
      <c r="L881" s="1" t="s">
        <v>800</v>
      </c>
      <c r="M881" s="1" t="s">
        <v>3857</v>
      </c>
      <c r="N881" s="1" t="s">
        <v>95</v>
      </c>
      <c r="O881" s="1" t="s">
        <v>96</v>
      </c>
      <c r="P881" s="2">
        <v>43798.7083333333</v>
      </c>
      <c r="Q881" s="1" t="s">
        <v>373</v>
      </c>
      <c r="R881" s="3">
        <v>43798.0</v>
      </c>
      <c r="S881" s="1"/>
      <c r="T881" s="1">
        <v>1503101.0</v>
      </c>
      <c r="U881" s="1" t="s">
        <v>3858</v>
      </c>
      <c r="V881" s="1" t="s">
        <v>193</v>
      </c>
      <c r="W881" s="1" t="s">
        <v>177</v>
      </c>
      <c r="X881" s="1"/>
      <c r="Y881" s="1" t="str">
        <f>"02004000789202046"</f>
        <v>02004000789202046</v>
      </c>
      <c r="Z881" s="1" t="s">
        <v>98</v>
      </c>
      <c r="AA881" s="1" t="s">
        <v>3859</v>
      </c>
      <c r="AB881" s="1" t="str">
        <f>"***790422**"</f>
        <v>***790422**</v>
      </c>
      <c r="AC881" s="1"/>
      <c r="AD881" s="1"/>
      <c r="AE881" s="1"/>
      <c r="AF881" s="1">
        <v>-51.732224</v>
      </c>
      <c r="AG881" s="1">
        <v>1.455556</v>
      </c>
      <c r="AH881" s="1" t="s">
        <v>3860</v>
      </c>
      <c r="AI881" s="1"/>
      <c r="AJ881" s="1" t="s">
        <v>800</v>
      </c>
      <c r="AK881" s="1"/>
      <c r="AL881" s="1" t="s">
        <v>79</v>
      </c>
      <c r="AM881" s="1" t="s">
        <v>65</v>
      </c>
      <c r="AN881" s="1" t="s">
        <v>2781</v>
      </c>
      <c r="AO881" s="2">
        <v>44007.0</v>
      </c>
      <c r="AP881" s="2">
        <v>44007.3965393519</v>
      </c>
      <c r="AQ881" s="1" t="s">
        <v>80</v>
      </c>
      <c r="AR881" s="1" t="s">
        <v>1826</v>
      </c>
      <c r="AS881" s="1"/>
      <c r="AT881" s="2">
        <v>44269.931099537</v>
      </c>
    </row>
    <row r="882" ht="13.5" customHeight="1">
      <c r="A882" s="1">
        <v>2034517.0</v>
      </c>
      <c r="B882" s="1" t="s">
        <v>67</v>
      </c>
      <c r="C882" s="1" t="s">
        <v>68</v>
      </c>
      <c r="D882" s="1" t="s">
        <v>46</v>
      </c>
      <c r="E882" s="1" t="s">
        <v>3861</v>
      </c>
      <c r="F882" s="1"/>
      <c r="G882" s="1" t="s">
        <v>70</v>
      </c>
      <c r="H882" s="1" t="s">
        <v>93</v>
      </c>
      <c r="I882" s="1">
        <v>65500.0</v>
      </c>
      <c r="J882" s="1"/>
      <c r="K882" s="1"/>
      <c r="L882" s="1" t="s">
        <v>106</v>
      </c>
      <c r="M882" s="1" t="s">
        <v>3801</v>
      </c>
      <c r="N882" s="1" t="s">
        <v>95</v>
      </c>
      <c r="O882" s="1" t="s">
        <v>96</v>
      </c>
      <c r="P882" s="2">
        <v>43798.7048611111</v>
      </c>
      <c r="Q882" s="1" t="s">
        <v>74</v>
      </c>
      <c r="R882" s="1"/>
      <c r="S882" s="1"/>
      <c r="T882" s="1">
        <v>2304400.0</v>
      </c>
      <c r="U882" s="1" t="s">
        <v>111</v>
      </c>
      <c r="V882" s="1" t="s">
        <v>112</v>
      </c>
      <c r="W882" s="1" t="s">
        <v>113</v>
      </c>
      <c r="X882" s="1"/>
      <c r="Y882" s="1" t="str">
        <f>"02007003928201920"</f>
        <v>02007003928201920</v>
      </c>
      <c r="Z882" s="1" t="s">
        <v>3814</v>
      </c>
      <c r="AA882" s="1" t="s">
        <v>3862</v>
      </c>
      <c r="AB882" s="1" t="str">
        <f>"***020613**"</f>
        <v>***020613**</v>
      </c>
      <c r="AC882" s="1"/>
      <c r="AD882" s="1" t="s">
        <v>116</v>
      </c>
      <c r="AE882" s="1"/>
      <c r="AF882" s="1">
        <v>0.0</v>
      </c>
      <c r="AG882" s="1">
        <v>0.0</v>
      </c>
      <c r="AH882" s="1" t="s">
        <v>3819</v>
      </c>
      <c r="AI882" s="1"/>
      <c r="AJ882" s="1"/>
      <c r="AK882" s="1"/>
      <c r="AL882" s="1" t="s">
        <v>118</v>
      </c>
      <c r="AM882" s="1"/>
      <c r="AN882" s="1"/>
      <c r="AO882" s="2">
        <v>43880.7199652778</v>
      </c>
      <c r="AP882" s="2">
        <v>43880.7199652778</v>
      </c>
      <c r="AQ882" s="1" t="s">
        <v>80</v>
      </c>
      <c r="AR882" s="1" t="s">
        <v>3805</v>
      </c>
      <c r="AS882" s="1"/>
      <c r="AT882" s="2">
        <v>44269.931099537</v>
      </c>
    </row>
    <row r="883" ht="13.5" customHeight="1">
      <c r="A883" s="1"/>
      <c r="B883" s="1" t="s">
        <v>46</v>
      </c>
      <c r="C883" s="1" t="s">
        <v>47</v>
      </c>
      <c r="D883" s="1"/>
      <c r="E883" s="1" t="s">
        <v>3863</v>
      </c>
      <c r="F883" s="1"/>
      <c r="G883" s="1" t="s">
        <v>121</v>
      </c>
      <c r="H883" s="1" t="s">
        <v>50</v>
      </c>
      <c r="I883" s="1"/>
      <c r="J883" s="1"/>
      <c r="K883" s="1"/>
      <c r="L883" s="1"/>
      <c r="M883" s="1" t="s">
        <v>3864</v>
      </c>
      <c r="N883" s="1" t="s">
        <v>95</v>
      </c>
      <c r="O883" s="1" t="s">
        <v>96</v>
      </c>
      <c r="P883" s="2">
        <v>43798.7037615741</v>
      </c>
      <c r="Q883" s="1"/>
      <c r="R883" s="1"/>
      <c r="S883" s="1"/>
      <c r="T883" s="1">
        <v>3144805.0</v>
      </c>
      <c r="U883" s="1" t="s">
        <v>3865</v>
      </c>
      <c r="V883" s="1" t="s">
        <v>126</v>
      </c>
      <c r="W883" s="1" t="s">
        <v>127</v>
      </c>
      <c r="X883" s="1"/>
      <c r="Y883" s="1"/>
      <c r="Z883" s="1" t="s">
        <v>667</v>
      </c>
      <c r="AA883" s="1" t="s">
        <v>3866</v>
      </c>
      <c r="AB883" s="1" t="str">
        <f>"***707046**"</f>
        <v>***707046**</v>
      </c>
      <c r="AC883" s="1"/>
      <c r="AD883" s="1" t="s">
        <v>62</v>
      </c>
      <c r="AE883" s="1"/>
      <c r="AF883" s="1">
        <v>-43.846943</v>
      </c>
      <c r="AG883" s="1">
        <v>-19.977222</v>
      </c>
      <c r="AH883" s="1" t="s">
        <v>3867</v>
      </c>
      <c r="AI883" s="1"/>
      <c r="AJ883" s="1" t="s">
        <v>131</v>
      </c>
      <c r="AK883" s="1"/>
      <c r="AL883" s="1"/>
      <c r="AM883" s="1" t="s">
        <v>65</v>
      </c>
      <c r="AN883" s="1" t="s">
        <v>132</v>
      </c>
      <c r="AO883" s="1"/>
      <c r="AP883" s="2">
        <v>44076.7294560185</v>
      </c>
      <c r="AQ883" s="1"/>
      <c r="AR883" s="1" t="s">
        <v>670</v>
      </c>
      <c r="AS883" s="1"/>
      <c r="AT883" s="2">
        <v>44269.931099537</v>
      </c>
    </row>
    <row r="884" ht="13.5" customHeight="1">
      <c r="A884" s="1">
        <v>2034595.0</v>
      </c>
      <c r="B884" s="1" t="s">
        <v>67</v>
      </c>
      <c r="C884" s="1" t="s">
        <v>68</v>
      </c>
      <c r="D884" s="1" t="s">
        <v>46</v>
      </c>
      <c r="E884" s="1" t="s">
        <v>3868</v>
      </c>
      <c r="F884" s="1"/>
      <c r="G884" s="1" t="s">
        <v>70</v>
      </c>
      <c r="H884" s="1" t="s">
        <v>93</v>
      </c>
      <c r="I884" s="1">
        <v>65500.0</v>
      </c>
      <c r="J884" s="1"/>
      <c r="K884" s="1"/>
      <c r="L884" s="1" t="s">
        <v>106</v>
      </c>
      <c r="M884" s="1" t="s">
        <v>3801</v>
      </c>
      <c r="N884" s="1" t="s">
        <v>95</v>
      </c>
      <c r="O884" s="1"/>
      <c r="P884" s="2">
        <v>43798.6986111111</v>
      </c>
      <c r="Q884" s="1" t="s">
        <v>74</v>
      </c>
      <c r="R884" s="1"/>
      <c r="S884" s="1"/>
      <c r="T884" s="1">
        <v>2304400.0</v>
      </c>
      <c r="U884" s="1" t="s">
        <v>111</v>
      </c>
      <c r="V884" s="1" t="s">
        <v>112</v>
      </c>
      <c r="W884" s="1" t="s">
        <v>113</v>
      </c>
      <c r="X884" s="1"/>
      <c r="Y884" s="1" t="str">
        <f>"02007003899201904"</f>
        <v>02007003899201904</v>
      </c>
      <c r="Z884" s="1" t="s">
        <v>3814</v>
      </c>
      <c r="AA884" s="1" t="s">
        <v>3855</v>
      </c>
      <c r="AB884" s="1" t="str">
        <f>"***117154**"</f>
        <v>***117154**</v>
      </c>
      <c r="AC884" s="1"/>
      <c r="AD884" s="1" t="s">
        <v>116</v>
      </c>
      <c r="AE884" s="1"/>
      <c r="AF884" s="1">
        <v>0.0</v>
      </c>
      <c r="AG884" s="1">
        <v>0.0</v>
      </c>
      <c r="AH884" s="1" t="s">
        <v>3819</v>
      </c>
      <c r="AI884" s="1"/>
      <c r="AJ884" s="1"/>
      <c r="AK884" s="1"/>
      <c r="AL884" s="1" t="s">
        <v>118</v>
      </c>
      <c r="AM884" s="1"/>
      <c r="AN884" s="1"/>
      <c r="AO884" s="2">
        <v>43889.347962963</v>
      </c>
      <c r="AP884" s="2">
        <v>43889.347962963</v>
      </c>
      <c r="AQ884" s="1" t="s">
        <v>80</v>
      </c>
      <c r="AR884" s="1" t="s">
        <v>3805</v>
      </c>
      <c r="AS884" s="1"/>
      <c r="AT884" s="2">
        <v>44269.931099537</v>
      </c>
    </row>
    <row r="885" ht="13.5" customHeight="1">
      <c r="A885" s="1">
        <v>2034472.0</v>
      </c>
      <c r="B885" s="1" t="s">
        <v>67</v>
      </c>
      <c r="C885" s="1" t="s">
        <v>68</v>
      </c>
      <c r="D885" s="1" t="s">
        <v>46</v>
      </c>
      <c r="E885" s="1" t="s">
        <v>3869</v>
      </c>
      <c r="F885" s="1"/>
      <c r="G885" s="1" t="s">
        <v>70</v>
      </c>
      <c r="H885" s="1" t="s">
        <v>93</v>
      </c>
      <c r="I885" s="1">
        <v>1000.0</v>
      </c>
      <c r="J885" s="1"/>
      <c r="K885" s="1"/>
      <c r="L885" s="1" t="s">
        <v>106</v>
      </c>
      <c r="M885" s="1" t="s">
        <v>3870</v>
      </c>
      <c r="N885" s="1" t="s">
        <v>95</v>
      </c>
      <c r="O885" s="1" t="s">
        <v>96</v>
      </c>
      <c r="P885" s="2">
        <v>43798.69375</v>
      </c>
      <c r="Q885" s="1" t="s">
        <v>74</v>
      </c>
      <c r="R885" s="1"/>
      <c r="S885" s="1"/>
      <c r="T885" s="1">
        <v>2304400.0</v>
      </c>
      <c r="U885" s="1" t="s">
        <v>111</v>
      </c>
      <c r="V885" s="1" t="s">
        <v>112</v>
      </c>
      <c r="W885" s="1" t="s">
        <v>113</v>
      </c>
      <c r="X885" s="1"/>
      <c r="Y885" s="1" t="str">
        <f>"02007003929201974"</f>
        <v>02007003929201974</v>
      </c>
      <c r="Z885" s="1" t="s">
        <v>1267</v>
      </c>
      <c r="AA885" s="1" t="s">
        <v>3862</v>
      </c>
      <c r="AB885" s="1" t="str">
        <f>"***020613**"</f>
        <v>***020613**</v>
      </c>
      <c r="AC885" s="1"/>
      <c r="AD885" s="1" t="s">
        <v>116</v>
      </c>
      <c r="AE885" s="1"/>
      <c r="AF885" s="1">
        <v>0.0</v>
      </c>
      <c r="AG885" s="1">
        <v>0.0</v>
      </c>
      <c r="AH885" s="1" t="s">
        <v>3819</v>
      </c>
      <c r="AI885" s="1"/>
      <c r="AJ885" s="1"/>
      <c r="AK885" s="1"/>
      <c r="AL885" s="1" t="s">
        <v>118</v>
      </c>
      <c r="AM885" s="1"/>
      <c r="AN885" s="1"/>
      <c r="AO885" s="2">
        <v>43874.3602314815</v>
      </c>
      <c r="AP885" s="2">
        <v>43874.3602314815</v>
      </c>
      <c r="AQ885" s="1" t="s">
        <v>80</v>
      </c>
      <c r="AR885" s="1" t="s">
        <v>1270</v>
      </c>
      <c r="AS885" s="1"/>
      <c r="AT885" s="2">
        <v>44269.931099537</v>
      </c>
    </row>
    <row r="886" ht="13.5" customHeight="1">
      <c r="A886" s="1"/>
      <c r="B886" s="1" t="s">
        <v>46</v>
      </c>
      <c r="C886" s="1" t="s">
        <v>47</v>
      </c>
      <c r="D886" s="1"/>
      <c r="E886" s="4" t="s">
        <v>3871</v>
      </c>
      <c r="F886" s="1"/>
      <c r="G886" s="1" t="s">
        <v>49</v>
      </c>
      <c r="H886" s="1" t="s">
        <v>93</v>
      </c>
      <c r="I886" s="1">
        <v>4400.0</v>
      </c>
      <c r="J886" s="1"/>
      <c r="K886" s="1" t="s">
        <v>51</v>
      </c>
      <c r="L886" s="1"/>
      <c r="M886" s="1" t="s">
        <v>3872</v>
      </c>
      <c r="N886" s="1" t="s">
        <v>53</v>
      </c>
      <c r="O886" s="1" t="s">
        <v>54</v>
      </c>
      <c r="P886" s="2">
        <v>43798.6822453704</v>
      </c>
      <c r="Q886" s="1" t="s">
        <v>373</v>
      </c>
      <c r="R886" s="1"/>
      <c r="S886" s="1"/>
      <c r="T886" s="1">
        <v>1503101.0</v>
      </c>
      <c r="U886" s="1" t="s">
        <v>3858</v>
      </c>
      <c r="V886" s="1" t="s">
        <v>193</v>
      </c>
      <c r="W886" s="1" t="s">
        <v>288</v>
      </c>
      <c r="X886" s="1"/>
      <c r="Y886" s="1"/>
      <c r="Z886" s="1" t="s">
        <v>60</v>
      </c>
      <c r="AA886" s="1" t="s">
        <v>3873</v>
      </c>
      <c r="AB886" s="1" t="str">
        <f>"***615422**"</f>
        <v>***615422**</v>
      </c>
      <c r="AC886" s="1"/>
      <c r="AD886" s="1" t="s">
        <v>62</v>
      </c>
      <c r="AE886" s="1"/>
      <c r="AF886" s="1">
        <v>-51.675003</v>
      </c>
      <c r="AG886" s="1">
        <v>-1.414167</v>
      </c>
      <c r="AH886" s="1" t="s">
        <v>3874</v>
      </c>
      <c r="AI886" s="1"/>
      <c r="AJ886" s="1" t="s">
        <v>800</v>
      </c>
      <c r="AK886" s="1"/>
      <c r="AL886" s="1"/>
      <c r="AM886" s="1" t="s">
        <v>65</v>
      </c>
      <c r="AN886" s="1" t="s">
        <v>152</v>
      </c>
      <c r="AO886" s="1"/>
      <c r="AP886" s="2">
        <v>43798.6916550926</v>
      </c>
      <c r="AQ886" s="1"/>
      <c r="AR886" s="1" t="s">
        <v>1096</v>
      </c>
      <c r="AS886" s="1"/>
      <c r="AT886" s="2">
        <v>44269.931099537</v>
      </c>
    </row>
    <row r="887" ht="13.5" customHeight="1">
      <c r="A887" s="1">
        <v>2035096.0</v>
      </c>
      <c r="B887" s="1" t="s">
        <v>67</v>
      </c>
      <c r="C887" s="1" t="s">
        <v>68</v>
      </c>
      <c r="D887" s="1" t="s">
        <v>46</v>
      </c>
      <c r="E887" s="1" t="s">
        <v>3875</v>
      </c>
      <c r="F887" s="1"/>
      <c r="G887" s="1" t="s">
        <v>70</v>
      </c>
      <c r="H887" s="1" t="s">
        <v>93</v>
      </c>
      <c r="I887" s="1">
        <v>65500.0</v>
      </c>
      <c r="J887" s="1"/>
      <c r="K887" s="1"/>
      <c r="L887" s="1" t="s">
        <v>106</v>
      </c>
      <c r="M887" s="1" t="s">
        <v>3801</v>
      </c>
      <c r="N887" s="1" t="s">
        <v>95</v>
      </c>
      <c r="O887" s="1" t="s">
        <v>96</v>
      </c>
      <c r="P887" s="2">
        <v>43798.6673611111</v>
      </c>
      <c r="Q887" s="1" t="s">
        <v>74</v>
      </c>
      <c r="R887" s="1"/>
      <c r="S887" s="1"/>
      <c r="T887" s="1">
        <v>2304400.0</v>
      </c>
      <c r="U887" s="1" t="s">
        <v>111</v>
      </c>
      <c r="V887" s="1" t="s">
        <v>112</v>
      </c>
      <c r="W887" s="1" t="s">
        <v>113</v>
      </c>
      <c r="X887" s="1"/>
      <c r="Y887" s="1" t="str">
        <f>"02007003920201963"</f>
        <v>02007003920201963</v>
      </c>
      <c r="Z887" s="1" t="s">
        <v>1267</v>
      </c>
      <c r="AA887" s="1" t="s">
        <v>3876</v>
      </c>
      <c r="AB887" s="1" t="str">
        <f>"***848103**"</f>
        <v>***848103**</v>
      </c>
      <c r="AC887" s="1"/>
      <c r="AD887" s="1" t="s">
        <v>116</v>
      </c>
      <c r="AE887" s="1"/>
      <c r="AF887" s="1">
        <v>0.0</v>
      </c>
      <c r="AG887" s="1">
        <v>0.0</v>
      </c>
      <c r="AH887" s="1" t="s">
        <v>3819</v>
      </c>
      <c r="AI887" s="1"/>
      <c r="AJ887" s="1"/>
      <c r="AK887" s="1"/>
      <c r="AL887" s="1" t="s">
        <v>118</v>
      </c>
      <c r="AM887" s="1"/>
      <c r="AN887" s="1"/>
      <c r="AO887" s="2">
        <v>43895.3724652778</v>
      </c>
      <c r="AP887" s="2">
        <v>43895.3724652778</v>
      </c>
      <c r="AQ887" s="1" t="s">
        <v>80</v>
      </c>
      <c r="AR887" s="1" t="s">
        <v>3805</v>
      </c>
      <c r="AS887" s="1"/>
      <c r="AT887" s="2">
        <v>44269.931099537</v>
      </c>
    </row>
    <row r="888" ht="13.5" customHeight="1">
      <c r="A888" s="1">
        <v>2034986.0</v>
      </c>
      <c r="B888" s="1" t="s">
        <v>67</v>
      </c>
      <c r="C888" s="1" t="s">
        <v>68</v>
      </c>
      <c r="D888" s="1" t="s">
        <v>46</v>
      </c>
      <c r="E888" s="1" t="s">
        <v>3877</v>
      </c>
      <c r="F888" s="1"/>
      <c r="G888" s="1" t="s">
        <v>70</v>
      </c>
      <c r="H888" s="1" t="s">
        <v>50</v>
      </c>
      <c r="I888" s="1">
        <v>65500.0</v>
      </c>
      <c r="J888" s="1"/>
      <c r="K888" s="1"/>
      <c r="L888" s="1" t="s">
        <v>106</v>
      </c>
      <c r="M888" s="1" t="s">
        <v>3813</v>
      </c>
      <c r="N888" s="1" t="s">
        <v>95</v>
      </c>
      <c r="O888" s="1" t="s">
        <v>96</v>
      </c>
      <c r="P888" s="2">
        <v>43798.6666666667</v>
      </c>
      <c r="Q888" s="1" t="s">
        <v>74</v>
      </c>
      <c r="R888" s="3">
        <v>43797.0</v>
      </c>
      <c r="S888" s="1"/>
      <c r="T888" s="1">
        <v>2304400.0</v>
      </c>
      <c r="U888" s="1" t="s">
        <v>111</v>
      </c>
      <c r="V888" s="1" t="s">
        <v>112</v>
      </c>
      <c r="W888" s="1" t="s">
        <v>113</v>
      </c>
      <c r="X888" s="1"/>
      <c r="Y888" s="1" t="str">
        <f>"02007000823202052"</f>
        <v>02007000823202052</v>
      </c>
      <c r="Z888" s="1" t="s">
        <v>98</v>
      </c>
      <c r="AA888" s="1" t="s">
        <v>3878</v>
      </c>
      <c r="AB888" s="1" t="str">
        <f>"***106803**"</f>
        <v>***106803**</v>
      </c>
      <c r="AC888" s="1"/>
      <c r="AD888" s="1"/>
      <c r="AE888" s="1"/>
      <c r="AF888" s="1">
        <v>-38.623608</v>
      </c>
      <c r="AG888" s="1">
        <v>-3.780833</v>
      </c>
      <c r="AH888" s="1" t="s">
        <v>3819</v>
      </c>
      <c r="AI888" s="1"/>
      <c r="AJ888" s="1" t="s">
        <v>106</v>
      </c>
      <c r="AK888" s="1"/>
      <c r="AL888" s="1" t="s">
        <v>79</v>
      </c>
      <c r="AM888" s="1" t="s">
        <v>65</v>
      </c>
      <c r="AN888" s="1" t="s">
        <v>3804</v>
      </c>
      <c r="AO888" s="2">
        <v>43893.0</v>
      </c>
      <c r="AP888" s="2">
        <v>43893.4147685185</v>
      </c>
      <c r="AQ888" s="1" t="s">
        <v>80</v>
      </c>
      <c r="AR888" s="1" t="s">
        <v>3822</v>
      </c>
      <c r="AS888" s="1"/>
      <c r="AT888" s="2">
        <v>44269.931099537</v>
      </c>
    </row>
    <row r="889" ht="13.5" customHeight="1">
      <c r="A889" s="1">
        <v>2035677.0</v>
      </c>
      <c r="B889" s="1" t="s">
        <v>67</v>
      </c>
      <c r="C889" s="1" t="s">
        <v>68</v>
      </c>
      <c r="D889" s="1" t="s">
        <v>46</v>
      </c>
      <c r="E889" s="1" t="s">
        <v>3879</v>
      </c>
      <c r="F889" s="1"/>
      <c r="G889" s="1" t="s">
        <v>70</v>
      </c>
      <c r="H889" s="1" t="s">
        <v>93</v>
      </c>
      <c r="I889" s="1">
        <v>1000.0</v>
      </c>
      <c r="J889" s="1"/>
      <c r="K889" s="1"/>
      <c r="L889" s="1" t="s">
        <v>106</v>
      </c>
      <c r="M889" s="1" t="s">
        <v>3880</v>
      </c>
      <c r="N889" s="1" t="s">
        <v>95</v>
      </c>
      <c r="O889" s="1" t="s">
        <v>96</v>
      </c>
      <c r="P889" s="2">
        <v>43798.6666666667</v>
      </c>
      <c r="Q889" s="1" t="s">
        <v>74</v>
      </c>
      <c r="R889" s="3">
        <v>43798.0</v>
      </c>
      <c r="S889" s="1"/>
      <c r="T889" s="1">
        <v>2304400.0</v>
      </c>
      <c r="U889" s="1" t="s">
        <v>111</v>
      </c>
      <c r="V889" s="1" t="s">
        <v>112</v>
      </c>
      <c r="W889" s="1" t="s">
        <v>113</v>
      </c>
      <c r="X889" s="1"/>
      <c r="Y889" s="1" t="str">
        <f>"02007001072202091"</f>
        <v>02007001072202091</v>
      </c>
      <c r="Z889" s="1" t="s">
        <v>98</v>
      </c>
      <c r="AA889" s="1" t="s">
        <v>3876</v>
      </c>
      <c r="AB889" s="1" t="str">
        <f>"***848103**"</f>
        <v>***848103**</v>
      </c>
      <c r="AC889" s="1"/>
      <c r="AD889" s="1"/>
      <c r="AE889" s="1"/>
      <c r="AF889" s="1">
        <v>-38.623608</v>
      </c>
      <c r="AG889" s="1">
        <v>-3.780833</v>
      </c>
      <c r="AH889" s="1" t="s">
        <v>3803</v>
      </c>
      <c r="AI889" s="1"/>
      <c r="AJ889" s="1" t="s">
        <v>106</v>
      </c>
      <c r="AK889" s="1"/>
      <c r="AL889" s="1" t="s">
        <v>79</v>
      </c>
      <c r="AM889" s="1" t="s">
        <v>65</v>
      </c>
      <c r="AN889" s="1" t="s">
        <v>3804</v>
      </c>
      <c r="AO889" s="2">
        <v>43913.0</v>
      </c>
      <c r="AP889" s="2">
        <v>43913.693287037</v>
      </c>
      <c r="AQ889" s="1" t="s">
        <v>80</v>
      </c>
      <c r="AR889" s="1" t="s">
        <v>475</v>
      </c>
      <c r="AS889" s="1"/>
      <c r="AT889" s="2">
        <v>44269.931099537</v>
      </c>
    </row>
    <row r="890" ht="13.5" customHeight="1">
      <c r="A890" s="1">
        <v>2038778.0</v>
      </c>
      <c r="B890" s="1" t="s">
        <v>67</v>
      </c>
      <c r="C890" s="1" t="s">
        <v>68</v>
      </c>
      <c r="D890" s="1" t="s">
        <v>46</v>
      </c>
      <c r="E890" s="1" t="s">
        <v>3881</v>
      </c>
      <c r="F890" s="1"/>
      <c r="G890" s="1" t="s">
        <v>70</v>
      </c>
      <c r="H890" s="1" t="s">
        <v>50</v>
      </c>
      <c r="I890" s="1">
        <v>500.0</v>
      </c>
      <c r="J890" s="1"/>
      <c r="K890" s="1"/>
      <c r="L890" s="1" t="s">
        <v>587</v>
      </c>
      <c r="M890" s="1" t="s">
        <v>3882</v>
      </c>
      <c r="N890" s="1" t="s">
        <v>95</v>
      </c>
      <c r="O890" s="1" t="s">
        <v>96</v>
      </c>
      <c r="P890" s="2">
        <v>43798.6666666667</v>
      </c>
      <c r="Q890" s="1" t="s">
        <v>373</v>
      </c>
      <c r="R890" s="3">
        <v>43798.0</v>
      </c>
      <c r="S890" s="1"/>
      <c r="T890" s="1">
        <v>3112307.0</v>
      </c>
      <c r="U890" s="1" t="s">
        <v>1829</v>
      </c>
      <c r="V890" s="1" t="s">
        <v>126</v>
      </c>
      <c r="W890" s="1" t="s">
        <v>127</v>
      </c>
      <c r="X890" s="1"/>
      <c r="Y890" s="1" t="str">
        <f>"02566000418201965"</f>
        <v>02566000418201965</v>
      </c>
      <c r="Z890" s="1" t="s">
        <v>98</v>
      </c>
      <c r="AA890" s="1" t="s">
        <v>3883</v>
      </c>
      <c r="AB890" s="1" t="str">
        <f>"***279596**"</f>
        <v>***279596**</v>
      </c>
      <c r="AC890" s="1"/>
      <c r="AD890" s="1"/>
      <c r="AE890" s="1"/>
      <c r="AF890" s="1">
        <v>-42.524445</v>
      </c>
      <c r="AG890" s="1">
        <v>-17.682222</v>
      </c>
      <c r="AH890" s="1" t="s">
        <v>3884</v>
      </c>
      <c r="AI890" s="1"/>
      <c r="AJ890" s="1" t="s">
        <v>587</v>
      </c>
      <c r="AK890" s="1"/>
      <c r="AL890" s="1" t="s">
        <v>79</v>
      </c>
      <c r="AM890" s="1" t="s">
        <v>65</v>
      </c>
      <c r="AN890" s="1" t="s">
        <v>592</v>
      </c>
      <c r="AO890" s="2">
        <v>44046.0</v>
      </c>
      <c r="AP890" s="2">
        <v>44046.6096643519</v>
      </c>
      <c r="AQ890" s="1" t="s">
        <v>80</v>
      </c>
      <c r="AR890" s="1" t="s">
        <v>593</v>
      </c>
      <c r="AS890" s="1"/>
      <c r="AT890" s="2">
        <v>44269.931099537</v>
      </c>
    </row>
    <row r="891" ht="13.5" customHeight="1">
      <c r="A891" s="1">
        <v>2034486.0</v>
      </c>
      <c r="B891" s="1" t="s">
        <v>67</v>
      </c>
      <c r="C891" s="1" t="s">
        <v>68</v>
      </c>
      <c r="D891" s="1" t="s">
        <v>46</v>
      </c>
      <c r="E891" s="1" t="s">
        <v>3885</v>
      </c>
      <c r="F891" s="1"/>
      <c r="G891" s="1" t="s">
        <v>70</v>
      </c>
      <c r="H891" s="1" t="s">
        <v>93</v>
      </c>
      <c r="I891" s="1">
        <v>65500.0</v>
      </c>
      <c r="J891" s="1"/>
      <c r="K891" s="1"/>
      <c r="L891" s="1" t="s">
        <v>106</v>
      </c>
      <c r="M891" s="1" t="s">
        <v>3886</v>
      </c>
      <c r="N891" s="1" t="s">
        <v>95</v>
      </c>
      <c r="O891" s="1"/>
      <c r="P891" s="2">
        <v>43798.6638888889</v>
      </c>
      <c r="Q891" s="1" t="s">
        <v>74</v>
      </c>
      <c r="R891" s="1"/>
      <c r="S891" s="1"/>
      <c r="T891" s="1">
        <v>2304400.0</v>
      </c>
      <c r="U891" s="1" t="s">
        <v>111</v>
      </c>
      <c r="V891" s="1" t="s">
        <v>112</v>
      </c>
      <c r="W891" s="1" t="s">
        <v>113</v>
      </c>
      <c r="X891" s="1"/>
      <c r="Y891" s="1" t="str">
        <f>"02007003897201915"</f>
        <v>02007003897201915</v>
      </c>
      <c r="Z891" s="1" t="s">
        <v>3814</v>
      </c>
      <c r="AA891" s="1" t="s">
        <v>3878</v>
      </c>
      <c r="AB891" s="1" t="str">
        <f>"***106803**"</f>
        <v>***106803**</v>
      </c>
      <c r="AC891" s="1"/>
      <c r="AD891" s="1" t="s">
        <v>116</v>
      </c>
      <c r="AE891" s="1"/>
      <c r="AF891" s="1">
        <v>0.0</v>
      </c>
      <c r="AG891" s="1">
        <v>0.0</v>
      </c>
      <c r="AH891" s="1" t="s">
        <v>3819</v>
      </c>
      <c r="AI891" s="1"/>
      <c r="AJ891" s="1"/>
      <c r="AK891" s="1"/>
      <c r="AL891" s="1" t="s">
        <v>118</v>
      </c>
      <c r="AM891" s="1"/>
      <c r="AN891" s="1"/>
      <c r="AO891" s="2">
        <v>43878.4570138889</v>
      </c>
      <c r="AP891" s="2">
        <v>43878.4570138889</v>
      </c>
      <c r="AQ891" s="1" t="s">
        <v>80</v>
      </c>
      <c r="AR891" s="1" t="s">
        <v>3805</v>
      </c>
      <c r="AS891" s="1"/>
      <c r="AT891" s="2">
        <v>44269.931099537</v>
      </c>
    </row>
    <row r="892" ht="13.5" customHeight="1">
      <c r="A892" s="1"/>
      <c r="B892" s="1" t="s">
        <v>46</v>
      </c>
      <c r="C892" s="1" t="s">
        <v>47</v>
      </c>
      <c r="D892" s="1"/>
      <c r="E892" s="1" t="s">
        <v>3887</v>
      </c>
      <c r="F892" s="1"/>
      <c r="G892" s="1" t="s">
        <v>49</v>
      </c>
      <c r="H892" s="1" t="s">
        <v>93</v>
      </c>
      <c r="I892" s="1">
        <v>5800.0</v>
      </c>
      <c r="J892" s="1"/>
      <c r="K892" s="1"/>
      <c r="L892" s="1"/>
      <c r="M892" s="1" t="s">
        <v>3888</v>
      </c>
      <c r="N892" s="1" t="s">
        <v>53</v>
      </c>
      <c r="O892" s="1" t="s">
        <v>54</v>
      </c>
      <c r="P892" s="2">
        <v>43798.6606134259</v>
      </c>
      <c r="Q892" s="1" t="s">
        <v>74</v>
      </c>
      <c r="R892" s="3">
        <v>43798.0</v>
      </c>
      <c r="S892" s="1"/>
      <c r="T892" s="1">
        <v>2511905.0</v>
      </c>
      <c r="U892" s="1" t="s">
        <v>3889</v>
      </c>
      <c r="V892" s="1" t="s">
        <v>728</v>
      </c>
      <c r="W892" s="1" t="s">
        <v>288</v>
      </c>
      <c r="X892" s="1"/>
      <c r="Y892" s="1"/>
      <c r="Z892" s="1" t="s">
        <v>60</v>
      </c>
      <c r="AA892" s="1" t="s">
        <v>3890</v>
      </c>
      <c r="AB892" s="1" t="str">
        <f>"***026654**"</f>
        <v>***026654**</v>
      </c>
      <c r="AC892" s="1"/>
      <c r="AD892" s="1" t="s">
        <v>62</v>
      </c>
      <c r="AE892" s="1"/>
      <c r="AF892" s="1">
        <v>-34.823889</v>
      </c>
      <c r="AG892" s="1">
        <v>-7.545278</v>
      </c>
      <c r="AH892" s="1" t="s">
        <v>3891</v>
      </c>
      <c r="AI892" s="1"/>
      <c r="AJ892" s="1" t="s">
        <v>172</v>
      </c>
      <c r="AK892" s="1"/>
      <c r="AL892" s="1"/>
      <c r="AM892" s="1" t="s">
        <v>65</v>
      </c>
      <c r="AN892" s="1" t="s">
        <v>2722</v>
      </c>
      <c r="AO892" s="1"/>
      <c r="AP892" s="2">
        <v>44239.577650463</v>
      </c>
      <c r="AQ892" s="1"/>
      <c r="AR892" s="1" t="s">
        <v>3892</v>
      </c>
      <c r="AS892" s="1" t="s">
        <v>3893</v>
      </c>
      <c r="AT892" s="2">
        <v>44269.931099537</v>
      </c>
    </row>
    <row r="893" ht="13.5" customHeight="1">
      <c r="A893" s="1">
        <v>2034469.0</v>
      </c>
      <c r="B893" s="1" t="s">
        <v>67</v>
      </c>
      <c r="C893" s="1" t="s">
        <v>68</v>
      </c>
      <c r="D893" s="1" t="s">
        <v>46</v>
      </c>
      <c r="E893" s="1" t="s">
        <v>3894</v>
      </c>
      <c r="F893" s="1"/>
      <c r="G893" s="1" t="s">
        <v>70</v>
      </c>
      <c r="H893" s="1" t="s">
        <v>93</v>
      </c>
      <c r="I893" s="1">
        <v>1000.0</v>
      </c>
      <c r="J893" s="1"/>
      <c r="K893" s="1"/>
      <c r="L893" s="1" t="s">
        <v>106</v>
      </c>
      <c r="M893" s="1" t="s">
        <v>3870</v>
      </c>
      <c r="N893" s="1" t="s">
        <v>95</v>
      </c>
      <c r="O893" s="1"/>
      <c r="P893" s="2">
        <v>43798.6534722222</v>
      </c>
      <c r="Q893" s="1" t="s">
        <v>74</v>
      </c>
      <c r="R893" s="1"/>
      <c r="S893" s="1"/>
      <c r="T893" s="1">
        <v>2304400.0</v>
      </c>
      <c r="U893" s="1" t="s">
        <v>111</v>
      </c>
      <c r="V893" s="1" t="s">
        <v>112</v>
      </c>
      <c r="W893" s="1" t="s">
        <v>113</v>
      </c>
      <c r="X893" s="1"/>
      <c r="Y893" s="1" t="str">
        <f>"02007003921201916"</f>
        <v>02007003921201916</v>
      </c>
      <c r="Z893" s="1" t="s">
        <v>1267</v>
      </c>
      <c r="AA893" s="1" t="s">
        <v>3876</v>
      </c>
      <c r="AB893" s="1" t="str">
        <f>"***848103**"</f>
        <v>***848103**</v>
      </c>
      <c r="AC893" s="1"/>
      <c r="AD893" s="1" t="s">
        <v>116</v>
      </c>
      <c r="AE893" s="1"/>
      <c r="AF893" s="1">
        <v>0.0</v>
      </c>
      <c r="AG893" s="1">
        <v>0.0</v>
      </c>
      <c r="AH893" s="1" t="s">
        <v>3819</v>
      </c>
      <c r="AI893" s="1"/>
      <c r="AJ893" s="1"/>
      <c r="AK893" s="1"/>
      <c r="AL893" s="1" t="s">
        <v>118</v>
      </c>
      <c r="AM893" s="1"/>
      <c r="AN893" s="1"/>
      <c r="AO893" s="2">
        <v>43873.7122453704</v>
      </c>
      <c r="AP893" s="2">
        <v>43873.7122453704</v>
      </c>
      <c r="AQ893" s="1" t="s">
        <v>80</v>
      </c>
      <c r="AR893" s="1" t="s">
        <v>1270</v>
      </c>
      <c r="AS893" s="1"/>
      <c r="AT893" s="2">
        <v>44269.931099537</v>
      </c>
    </row>
    <row r="894" ht="13.5" customHeight="1">
      <c r="A894" s="1"/>
      <c r="B894" s="1" t="s">
        <v>46</v>
      </c>
      <c r="C894" s="1" t="s">
        <v>47</v>
      </c>
      <c r="D894" s="1"/>
      <c r="E894" s="1" t="s">
        <v>3895</v>
      </c>
      <c r="F894" s="1"/>
      <c r="G894" s="1" t="s">
        <v>49</v>
      </c>
      <c r="H894" s="1" t="s">
        <v>50</v>
      </c>
      <c r="I894" s="1">
        <v>13000.0</v>
      </c>
      <c r="J894" s="1"/>
      <c r="K894" s="1" t="s">
        <v>51</v>
      </c>
      <c r="L894" s="1"/>
      <c r="M894" s="1" t="s">
        <v>976</v>
      </c>
      <c r="N894" s="1" t="s">
        <v>977</v>
      </c>
      <c r="O894" s="1" t="s">
        <v>978</v>
      </c>
      <c r="P894" s="2">
        <v>43798.6468981481</v>
      </c>
      <c r="Q894" s="1" t="s">
        <v>74</v>
      </c>
      <c r="R894" s="1"/>
      <c r="S894" s="1"/>
      <c r="T894" s="1">
        <v>3530607.0</v>
      </c>
      <c r="U894" s="1" t="s">
        <v>85</v>
      </c>
      <c r="V894" s="1" t="s">
        <v>58</v>
      </c>
      <c r="W894" s="1" t="s">
        <v>59</v>
      </c>
      <c r="X894" s="1"/>
      <c r="Y894" s="1"/>
      <c r="Z894" s="1" t="s">
        <v>980</v>
      </c>
      <c r="AA894" s="1" t="s">
        <v>3036</v>
      </c>
      <c r="AB894" s="1" t="str">
        <f>"09322643000126"</f>
        <v>09322643000126</v>
      </c>
      <c r="AC894" s="1"/>
      <c r="AD894" s="1" t="s">
        <v>149</v>
      </c>
      <c r="AE894" s="1"/>
      <c r="AF894" s="1">
        <v>-46.189167</v>
      </c>
      <c r="AG894" s="1">
        <v>-23.611389</v>
      </c>
      <c r="AH894" s="1" t="s">
        <v>982</v>
      </c>
      <c r="AI894" s="1"/>
      <c r="AJ894" s="1" t="s">
        <v>172</v>
      </c>
      <c r="AK894" s="1"/>
      <c r="AL894" s="1"/>
      <c r="AM894" s="1" t="s">
        <v>65</v>
      </c>
      <c r="AN894" s="1" t="s">
        <v>983</v>
      </c>
      <c r="AO894" s="1"/>
      <c r="AP894" s="2">
        <v>44008.7442939815</v>
      </c>
      <c r="AQ894" s="1"/>
      <c r="AR894" s="1" t="s">
        <v>984</v>
      </c>
      <c r="AS894" s="1" t="s">
        <v>3896</v>
      </c>
      <c r="AT894" s="2">
        <v>44269.931099537</v>
      </c>
    </row>
    <row r="895" ht="13.5" customHeight="1">
      <c r="A895" s="1"/>
      <c r="B895" s="1" t="s">
        <v>46</v>
      </c>
      <c r="C895" s="1" t="s">
        <v>47</v>
      </c>
      <c r="D895" s="1"/>
      <c r="E895" s="1" t="s">
        <v>3897</v>
      </c>
      <c r="F895" s="1"/>
      <c r="G895" s="1" t="s">
        <v>49</v>
      </c>
      <c r="H895" s="1" t="s">
        <v>50</v>
      </c>
      <c r="I895" s="1">
        <v>85000.0</v>
      </c>
      <c r="J895" s="1"/>
      <c r="K895" s="1" t="s">
        <v>51</v>
      </c>
      <c r="L895" s="1"/>
      <c r="M895" s="1" t="s">
        <v>3786</v>
      </c>
      <c r="N895" s="1" t="s">
        <v>977</v>
      </c>
      <c r="O895" s="1" t="s">
        <v>978</v>
      </c>
      <c r="P895" s="2">
        <v>43798.6386921296</v>
      </c>
      <c r="Q895" s="1" t="s">
        <v>74</v>
      </c>
      <c r="R895" s="1"/>
      <c r="S895" s="1"/>
      <c r="T895" s="1">
        <v>3550308.0</v>
      </c>
      <c r="U895" s="1" t="s">
        <v>607</v>
      </c>
      <c r="V895" s="1" t="s">
        <v>58</v>
      </c>
      <c r="W895" s="1" t="s">
        <v>59</v>
      </c>
      <c r="X895" s="1"/>
      <c r="Y895" s="1"/>
      <c r="Z895" s="1" t="s">
        <v>980</v>
      </c>
      <c r="AA895" s="1" t="s">
        <v>3898</v>
      </c>
      <c r="AB895" s="1" t="str">
        <f>"21498454000104"</f>
        <v>21498454000104</v>
      </c>
      <c r="AC895" s="1"/>
      <c r="AD895" s="1" t="s">
        <v>149</v>
      </c>
      <c r="AE895" s="1"/>
      <c r="AF895" s="1">
        <v>-46.625832</v>
      </c>
      <c r="AG895" s="1">
        <v>-23.547499</v>
      </c>
      <c r="AH895" s="1" t="s">
        <v>3899</v>
      </c>
      <c r="AI895" s="1"/>
      <c r="AJ895" s="1" t="s">
        <v>172</v>
      </c>
      <c r="AK895" s="1"/>
      <c r="AL895" s="1"/>
      <c r="AM895" s="1" t="s">
        <v>65</v>
      </c>
      <c r="AN895" s="1" t="s">
        <v>983</v>
      </c>
      <c r="AO895" s="1"/>
      <c r="AP895" s="2">
        <v>44014.8125115741</v>
      </c>
      <c r="AQ895" s="1"/>
      <c r="AR895" s="1" t="s">
        <v>229</v>
      </c>
      <c r="AS895" s="1" t="s">
        <v>3900</v>
      </c>
      <c r="AT895" s="2">
        <v>44269.931099537</v>
      </c>
    </row>
    <row r="896" ht="13.5" customHeight="1">
      <c r="A896" s="1">
        <v>2034480.0</v>
      </c>
      <c r="B896" s="1" t="s">
        <v>67</v>
      </c>
      <c r="C896" s="1" t="s">
        <v>68</v>
      </c>
      <c r="D896" s="1" t="s">
        <v>46</v>
      </c>
      <c r="E896" s="1" t="s">
        <v>3901</v>
      </c>
      <c r="F896" s="1"/>
      <c r="G896" s="1" t="s">
        <v>70</v>
      </c>
      <c r="H896" s="1" t="s">
        <v>93</v>
      </c>
      <c r="I896" s="1">
        <v>65500.0</v>
      </c>
      <c r="J896" s="1"/>
      <c r="K896" s="1"/>
      <c r="L896" s="1" t="s">
        <v>106</v>
      </c>
      <c r="M896" s="1" t="s">
        <v>3801</v>
      </c>
      <c r="N896" s="1" t="s">
        <v>95</v>
      </c>
      <c r="O896" s="1"/>
      <c r="P896" s="2">
        <v>43798.6305555556</v>
      </c>
      <c r="Q896" s="1" t="s">
        <v>74</v>
      </c>
      <c r="R896" s="1"/>
      <c r="S896" s="1"/>
      <c r="T896" s="1">
        <v>2304400.0</v>
      </c>
      <c r="U896" s="1" t="s">
        <v>111</v>
      </c>
      <c r="V896" s="1" t="s">
        <v>112</v>
      </c>
      <c r="W896" s="1" t="s">
        <v>113</v>
      </c>
      <c r="X896" s="1"/>
      <c r="Y896" s="1" t="str">
        <f t="shared" ref="Y896:Y897" si="39">"02007003939201918"</f>
        <v>02007003939201918</v>
      </c>
      <c r="Z896" s="1" t="s">
        <v>3814</v>
      </c>
      <c r="AA896" s="1" t="s">
        <v>3902</v>
      </c>
      <c r="AB896" s="1" t="str">
        <f t="shared" ref="AB896:AB898" si="40">"***759993**"</f>
        <v>***759993**</v>
      </c>
      <c r="AC896" s="1"/>
      <c r="AD896" s="1" t="s">
        <v>116</v>
      </c>
      <c r="AE896" s="1"/>
      <c r="AF896" s="1">
        <v>0.0</v>
      </c>
      <c r="AG896" s="1">
        <v>0.0</v>
      </c>
      <c r="AH896" s="1" t="s">
        <v>3819</v>
      </c>
      <c r="AI896" s="1"/>
      <c r="AJ896" s="1"/>
      <c r="AK896" s="1"/>
      <c r="AL896" s="1" t="s">
        <v>118</v>
      </c>
      <c r="AM896" s="1"/>
      <c r="AN896" s="1"/>
      <c r="AO896" s="2">
        <v>43874.7119328704</v>
      </c>
      <c r="AP896" s="2">
        <v>43874.7119328704</v>
      </c>
      <c r="AQ896" s="1" t="s">
        <v>80</v>
      </c>
      <c r="AR896" s="1" t="s">
        <v>3805</v>
      </c>
      <c r="AS896" s="1"/>
      <c r="AT896" s="2">
        <v>44269.931099537</v>
      </c>
    </row>
    <row r="897" ht="13.5" customHeight="1">
      <c r="A897" s="1">
        <v>2039767.0</v>
      </c>
      <c r="B897" s="1" t="s">
        <v>67</v>
      </c>
      <c r="C897" s="1" t="s">
        <v>68</v>
      </c>
      <c r="D897" s="1" t="s">
        <v>46</v>
      </c>
      <c r="E897" s="1" t="s">
        <v>3903</v>
      </c>
      <c r="F897" s="1"/>
      <c r="G897" s="1" t="s">
        <v>70</v>
      </c>
      <c r="H897" s="1" t="s">
        <v>93</v>
      </c>
      <c r="I897" s="1">
        <v>65500.0</v>
      </c>
      <c r="J897" s="1"/>
      <c r="K897" s="1"/>
      <c r="L897" s="1" t="s">
        <v>106</v>
      </c>
      <c r="M897" s="1" t="s">
        <v>3904</v>
      </c>
      <c r="N897" s="1" t="s">
        <v>95</v>
      </c>
      <c r="O897" s="1"/>
      <c r="P897" s="2">
        <v>43798.6305555556</v>
      </c>
      <c r="Q897" s="1" t="s">
        <v>74</v>
      </c>
      <c r="R897" s="1"/>
      <c r="S897" s="1"/>
      <c r="T897" s="1">
        <v>2304400.0</v>
      </c>
      <c r="U897" s="1" t="s">
        <v>111</v>
      </c>
      <c r="V897" s="1" t="s">
        <v>112</v>
      </c>
      <c r="W897" s="1" t="s">
        <v>113</v>
      </c>
      <c r="X897" s="1"/>
      <c r="Y897" s="1" t="str">
        <f t="shared" si="39"/>
        <v>02007003939201918</v>
      </c>
      <c r="Z897" s="1" t="s">
        <v>98</v>
      </c>
      <c r="AA897" s="1" t="s">
        <v>3902</v>
      </c>
      <c r="AB897" s="1" t="str">
        <f t="shared" si="40"/>
        <v>***759993**</v>
      </c>
      <c r="AC897" s="1"/>
      <c r="AD897" s="1" t="s">
        <v>116</v>
      </c>
      <c r="AE897" s="1"/>
      <c r="AF897" s="1">
        <v>0.0</v>
      </c>
      <c r="AG897" s="1">
        <v>0.0</v>
      </c>
      <c r="AH897" s="1" t="s">
        <v>3905</v>
      </c>
      <c r="AI897" s="1"/>
      <c r="AJ897" s="1"/>
      <c r="AK897" s="1"/>
      <c r="AL897" s="1" t="s">
        <v>118</v>
      </c>
      <c r="AM897" s="1"/>
      <c r="AN897" s="1"/>
      <c r="AO897" s="2">
        <v>44072.525150463</v>
      </c>
      <c r="AP897" s="2">
        <v>44072.525150463</v>
      </c>
      <c r="AQ897" s="1" t="s">
        <v>80</v>
      </c>
      <c r="AR897" s="1" t="s">
        <v>3906</v>
      </c>
      <c r="AS897" s="1"/>
      <c r="AT897" s="2">
        <v>44269.931099537</v>
      </c>
    </row>
    <row r="898" ht="13.5" customHeight="1">
      <c r="A898" s="1">
        <v>2034557.0</v>
      </c>
      <c r="B898" s="1" t="s">
        <v>67</v>
      </c>
      <c r="C898" s="1" t="s">
        <v>68</v>
      </c>
      <c r="D898" s="1" t="s">
        <v>46</v>
      </c>
      <c r="E898" s="1" t="s">
        <v>3907</v>
      </c>
      <c r="F898" s="1"/>
      <c r="G898" s="1" t="s">
        <v>70</v>
      </c>
      <c r="H898" s="1" t="s">
        <v>50</v>
      </c>
      <c r="I898" s="1">
        <v>65500.0</v>
      </c>
      <c r="J898" s="1"/>
      <c r="K898" s="1"/>
      <c r="L898" s="1" t="s">
        <v>106</v>
      </c>
      <c r="M898" s="1" t="s">
        <v>3801</v>
      </c>
      <c r="N898" s="1" t="s">
        <v>95</v>
      </c>
      <c r="O898" s="1" t="s">
        <v>96</v>
      </c>
      <c r="P898" s="2">
        <v>43798.625</v>
      </c>
      <c r="Q898" s="1" t="s">
        <v>74</v>
      </c>
      <c r="R898" s="3">
        <v>43797.0</v>
      </c>
      <c r="S898" s="1"/>
      <c r="T898" s="1">
        <v>2304400.0</v>
      </c>
      <c r="U898" s="1" t="s">
        <v>111</v>
      </c>
      <c r="V898" s="1" t="s">
        <v>112</v>
      </c>
      <c r="W898" s="1" t="s">
        <v>113</v>
      </c>
      <c r="X898" s="1"/>
      <c r="Y898" s="1" t="str">
        <f>"02007000771202014"</f>
        <v>02007000771202014</v>
      </c>
      <c r="Z898" s="1" t="s">
        <v>98</v>
      </c>
      <c r="AA898" s="1" t="s">
        <v>3902</v>
      </c>
      <c r="AB898" s="1" t="str">
        <f t="shared" si="40"/>
        <v>***759993**</v>
      </c>
      <c r="AC898" s="1"/>
      <c r="AD898" s="1"/>
      <c r="AE898" s="1"/>
      <c r="AF898" s="1">
        <v>-38.623608</v>
      </c>
      <c r="AG898" s="1">
        <v>-3.780833</v>
      </c>
      <c r="AH898" s="1" t="s">
        <v>3803</v>
      </c>
      <c r="AI898" s="1"/>
      <c r="AJ898" s="1" t="s">
        <v>106</v>
      </c>
      <c r="AK898" s="1"/>
      <c r="AL898" s="1" t="s">
        <v>79</v>
      </c>
      <c r="AM898" s="1" t="s">
        <v>65</v>
      </c>
      <c r="AN898" s="1" t="s">
        <v>3804</v>
      </c>
      <c r="AO898" s="2">
        <v>43888.0</v>
      </c>
      <c r="AP898" s="2">
        <v>43888.6722569445</v>
      </c>
      <c r="AQ898" s="1" t="s">
        <v>80</v>
      </c>
      <c r="AR898" s="1" t="s">
        <v>3822</v>
      </c>
      <c r="AS898" s="1"/>
      <c r="AT898" s="2">
        <v>44269.931099537</v>
      </c>
    </row>
    <row r="899" ht="13.5" customHeight="1">
      <c r="A899" s="1">
        <v>2035798.0</v>
      </c>
      <c r="B899" s="1" t="s">
        <v>67</v>
      </c>
      <c r="C899" s="1" t="s">
        <v>68</v>
      </c>
      <c r="D899" s="1" t="s">
        <v>46</v>
      </c>
      <c r="E899" s="1" t="s">
        <v>3908</v>
      </c>
      <c r="F899" s="1"/>
      <c r="G899" s="1" t="s">
        <v>70</v>
      </c>
      <c r="H899" s="1" t="s">
        <v>50</v>
      </c>
      <c r="I899" s="1">
        <v>65500.0</v>
      </c>
      <c r="J899" s="1"/>
      <c r="K899" s="1"/>
      <c r="L899" s="1" t="s">
        <v>106</v>
      </c>
      <c r="M899" s="1" t="s">
        <v>3909</v>
      </c>
      <c r="N899" s="1" t="s">
        <v>95</v>
      </c>
      <c r="O899" s="1" t="s">
        <v>96</v>
      </c>
      <c r="P899" s="2">
        <v>43798.625</v>
      </c>
      <c r="Q899" s="1" t="s">
        <v>74</v>
      </c>
      <c r="R899" s="3">
        <v>43798.0</v>
      </c>
      <c r="S899" s="1"/>
      <c r="T899" s="1">
        <v>2304400.0</v>
      </c>
      <c r="U899" s="1" t="s">
        <v>111</v>
      </c>
      <c r="V899" s="1" t="s">
        <v>112</v>
      </c>
      <c r="W899" s="1" t="s">
        <v>113</v>
      </c>
      <c r="X899" s="1"/>
      <c r="Y899" s="1" t="str">
        <f>"02007003940201934"</f>
        <v>02007003940201934</v>
      </c>
      <c r="Z899" s="1" t="s">
        <v>98</v>
      </c>
      <c r="AA899" s="1" t="s">
        <v>3910</v>
      </c>
      <c r="AB899" s="1" t="str">
        <f>"***784963**"</f>
        <v>***784963**</v>
      </c>
      <c r="AC899" s="1"/>
      <c r="AD899" s="1" t="s">
        <v>116</v>
      </c>
      <c r="AE899" s="1"/>
      <c r="AF899" s="1">
        <v>-38.623611</v>
      </c>
      <c r="AG899" s="1">
        <v>-3.780833</v>
      </c>
      <c r="AH899" s="1" t="s">
        <v>3819</v>
      </c>
      <c r="AI899" s="1"/>
      <c r="AJ899" s="1" t="s">
        <v>106</v>
      </c>
      <c r="AK899" s="1"/>
      <c r="AL899" s="1" t="s">
        <v>118</v>
      </c>
      <c r="AM899" s="1" t="s">
        <v>65</v>
      </c>
      <c r="AN899" s="1" t="s">
        <v>3804</v>
      </c>
      <c r="AO899" s="2">
        <v>43920.0</v>
      </c>
      <c r="AP899" s="2">
        <v>43929.4163078704</v>
      </c>
      <c r="AQ899" s="1" t="s">
        <v>80</v>
      </c>
      <c r="AR899" s="1" t="s">
        <v>3805</v>
      </c>
      <c r="AS899" s="1"/>
      <c r="AT899" s="2">
        <v>44269.931099537</v>
      </c>
    </row>
    <row r="900" ht="13.5" customHeight="1">
      <c r="A900" s="1">
        <v>2038798.0</v>
      </c>
      <c r="B900" s="1" t="s">
        <v>67</v>
      </c>
      <c r="C900" s="1" t="s">
        <v>68</v>
      </c>
      <c r="D900" s="1" t="s">
        <v>46</v>
      </c>
      <c r="E900" s="1" t="s">
        <v>3911</v>
      </c>
      <c r="F900" s="1"/>
      <c r="G900" s="1" t="s">
        <v>70</v>
      </c>
      <c r="H900" s="1" t="s">
        <v>93</v>
      </c>
      <c r="I900" s="1">
        <v>15500.0</v>
      </c>
      <c r="J900" s="1"/>
      <c r="K900" s="1"/>
      <c r="L900" s="1" t="s">
        <v>587</v>
      </c>
      <c r="M900" s="1" t="s">
        <v>3912</v>
      </c>
      <c r="N900" s="1" t="s">
        <v>95</v>
      </c>
      <c r="O900" s="1" t="s">
        <v>96</v>
      </c>
      <c r="P900" s="2">
        <v>43798.625</v>
      </c>
      <c r="Q900" s="1" t="s">
        <v>373</v>
      </c>
      <c r="R900" s="3">
        <v>43798.0</v>
      </c>
      <c r="S900" s="1"/>
      <c r="T900" s="1">
        <v>3112307.0</v>
      </c>
      <c r="U900" s="1" t="s">
        <v>1829</v>
      </c>
      <c r="V900" s="1" t="s">
        <v>126</v>
      </c>
      <c r="W900" s="1" t="s">
        <v>127</v>
      </c>
      <c r="X900" s="1"/>
      <c r="Y900" s="1" t="str">
        <f>"02566000006202069"</f>
        <v>02566000006202069</v>
      </c>
      <c r="Z900" s="1" t="s">
        <v>98</v>
      </c>
      <c r="AA900" s="1" t="s">
        <v>3883</v>
      </c>
      <c r="AB900" s="1" t="str">
        <f>"***279596**"</f>
        <v>***279596**</v>
      </c>
      <c r="AC900" s="1"/>
      <c r="AD900" s="1"/>
      <c r="AE900" s="1"/>
      <c r="AF900" s="1">
        <v>-42.524445</v>
      </c>
      <c r="AG900" s="1">
        <v>-17.682222</v>
      </c>
      <c r="AH900" s="1" t="s">
        <v>3913</v>
      </c>
      <c r="AI900" s="1"/>
      <c r="AJ900" s="1" t="s">
        <v>587</v>
      </c>
      <c r="AK900" s="1"/>
      <c r="AL900" s="1" t="s">
        <v>79</v>
      </c>
      <c r="AM900" s="1" t="s">
        <v>65</v>
      </c>
      <c r="AN900" s="1" t="s">
        <v>592</v>
      </c>
      <c r="AO900" s="2">
        <v>44046.0</v>
      </c>
      <c r="AP900" s="2">
        <v>44046.6706365741</v>
      </c>
      <c r="AQ900" s="1" t="s">
        <v>80</v>
      </c>
      <c r="AR900" s="1" t="s">
        <v>250</v>
      </c>
      <c r="AS900" s="1"/>
      <c r="AT900" s="2">
        <v>44269.931099537</v>
      </c>
    </row>
    <row r="901" ht="13.5" customHeight="1">
      <c r="A901" s="1">
        <v>2039798.0</v>
      </c>
      <c r="B901" s="1" t="s">
        <v>67</v>
      </c>
      <c r="C901" s="1" t="s">
        <v>68</v>
      </c>
      <c r="D901" s="1" t="s">
        <v>46</v>
      </c>
      <c r="E901" s="1" t="s">
        <v>3914</v>
      </c>
      <c r="F901" s="1"/>
      <c r="G901" s="1" t="s">
        <v>70</v>
      </c>
      <c r="H901" s="1" t="s">
        <v>50</v>
      </c>
      <c r="I901" s="1">
        <v>1000.0</v>
      </c>
      <c r="J901" s="1"/>
      <c r="K901" s="1"/>
      <c r="L901" s="1" t="s">
        <v>131</v>
      </c>
      <c r="M901" s="1" t="s">
        <v>3915</v>
      </c>
      <c r="N901" s="1" t="s">
        <v>95</v>
      </c>
      <c r="O901" s="1" t="s">
        <v>96</v>
      </c>
      <c r="P901" s="2">
        <v>43798.625</v>
      </c>
      <c r="Q901" s="1" t="s">
        <v>74</v>
      </c>
      <c r="R901" s="1"/>
      <c r="S901" s="1"/>
      <c r="T901" s="1">
        <v>3153905.0</v>
      </c>
      <c r="U901" s="1" t="s">
        <v>3916</v>
      </c>
      <c r="V901" s="1" t="s">
        <v>126</v>
      </c>
      <c r="W901" s="1" t="s">
        <v>127</v>
      </c>
      <c r="X901" s="1"/>
      <c r="Y901" s="1" t="str">
        <f>"02015007273201960"</f>
        <v>02015007273201960</v>
      </c>
      <c r="Z901" s="1" t="s">
        <v>98</v>
      </c>
      <c r="AA901" s="1" t="s">
        <v>3917</v>
      </c>
      <c r="AB901" s="1" t="str">
        <f>"***029656**"</f>
        <v>***029656**</v>
      </c>
      <c r="AC901" s="1"/>
      <c r="AD901" s="1"/>
      <c r="AE901" s="1"/>
      <c r="AF901" s="1">
        <v>-43.804722</v>
      </c>
      <c r="AG901" s="1">
        <v>-19.96139</v>
      </c>
      <c r="AH901" s="1" t="s">
        <v>3918</v>
      </c>
      <c r="AI901" s="1">
        <v>599555.0</v>
      </c>
      <c r="AJ901" s="1" t="s">
        <v>131</v>
      </c>
      <c r="AK901" s="1"/>
      <c r="AL901" s="1" t="s">
        <v>79</v>
      </c>
      <c r="AM901" s="1" t="s">
        <v>65</v>
      </c>
      <c r="AN901" s="1" t="s">
        <v>132</v>
      </c>
      <c r="AO901" s="2">
        <v>44074.0</v>
      </c>
      <c r="AP901" s="2">
        <v>44074.7162731482</v>
      </c>
      <c r="AQ901" s="1" t="s">
        <v>80</v>
      </c>
      <c r="AR901" s="1" t="s">
        <v>1136</v>
      </c>
      <c r="AS901" s="1"/>
      <c r="AT901" s="2">
        <v>44269.931099537</v>
      </c>
    </row>
    <row r="902" ht="13.5" customHeight="1">
      <c r="A902" s="1">
        <v>2034520.0</v>
      </c>
      <c r="B902" s="1" t="s">
        <v>67</v>
      </c>
      <c r="C902" s="1" t="s">
        <v>68</v>
      </c>
      <c r="D902" s="1" t="s">
        <v>46</v>
      </c>
      <c r="E902" s="1" t="s">
        <v>3919</v>
      </c>
      <c r="F902" s="1"/>
      <c r="G902" s="1" t="s">
        <v>70</v>
      </c>
      <c r="H902" s="1" t="s">
        <v>93</v>
      </c>
      <c r="I902" s="1">
        <v>65500.0</v>
      </c>
      <c r="J902" s="1"/>
      <c r="K902" s="1"/>
      <c r="L902" s="1" t="s">
        <v>106</v>
      </c>
      <c r="M902" s="1" t="s">
        <v>3801</v>
      </c>
      <c r="N902" s="1" t="s">
        <v>95</v>
      </c>
      <c r="O902" s="1" t="s">
        <v>96</v>
      </c>
      <c r="P902" s="2">
        <v>43798.6125</v>
      </c>
      <c r="Q902" s="1" t="s">
        <v>74</v>
      </c>
      <c r="R902" s="1"/>
      <c r="S902" s="1"/>
      <c r="T902" s="1">
        <v>2304400.0</v>
      </c>
      <c r="U902" s="1" t="s">
        <v>111</v>
      </c>
      <c r="V902" s="1" t="s">
        <v>112</v>
      </c>
      <c r="W902" s="1" t="s">
        <v>113</v>
      </c>
      <c r="X902" s="1"/>
      <c r="Y902" s="1" t="str">
        <f>"02007003942201923"</f>
        <v>02007003942201923</v>
      </c>
      <c r="Z902" s="1" t="s">
        <v>3814</v>
      </c>
      <c r="AA902" s="1" t="s">
        <v>3920</v>
      </c>
      <c r="AB902" s="1" t="str">
        <f>"***280453**"</f>
        <v>***280453**</v>
      </c>
      <c r="AC902" s="1"/>
      <c r="AD902" s="1" t="s">
        <v>116</v>
      </c>
      <c r="AE902" s="1"/>
      <c r="AF902" s="1">
        <v>0.0</v>
      </c>
      <c r="AG902" s="1">
        <v>0.0</v>
      </c>
      <c r="AH902" s="1" t="s">
        <v>3819</v>
      </c>
      <c r="AI902" s="1"/>
      <c r="AJ902" s="1"/>
      <c r="AK902" s="1"/>
      <c r="AL902" s="1" t="s">
        <v>118</v>
      </c>
      <c r="AM902" s="1"/>
      <c r="AN902" s="1"/>
      <c r="AO902" s="2">
        <v>43880.7513888889</v>
      </c>
      <c r="AP902" s="2">
        <v>43880.7513888889</v>
      </c>
      <c r="AQ902" s="1" t="s">
        <v>80</v>
      </c>
      <c r="AR902" s="1" t="s">
        <v>3805</v>
      </c>
      <c r="AS902" s="1"/>
      <c r="AT902" s="2">
        <v>44269.931099537</v>
      </c>
    </row>
    <row r="903" ht="13.5" customHeight="1">
      <c r="A903" s="1">
        <v>2034457.0</v>
      </c>
      <c r="B903" s="1" t="s">
        <v>67</v>
      </c>
      <c r="C903" s="1" t="s">
        <v>68</v>
      </c>
      <c r="D903" s="1" t="s">
        <v>46</v>
      </c>
      <c r="E903" s="1" t="s">
        <v>3921</v>
      </c>
      <c r="F903" s="1"/>
      <c r="G903" s="1" t="s">
        <v>70</v>
      </c>
      <c r="H903" s="1" t="s">
        <v>93</v>
      </c>
      <c r="I903" s="1">
        <v>65500.0</v>
      </c>
      <c r="J903" s="1"/>
      <c r="K903" s="1"/>
      <c r="L903" s="1" t="s">
        <v>106</v>
      </c>
      <c r="M903" s="1" t="s">
        <v>3801</v>
      </c>
      <c r="N903" s="1" t="s">
        <v>95</v>
      </c>
      <c r="O903" s="1" t="s">
        <v>96</v>
      </c>
      <c r="P903" s="2">
        <v>43798.6041666667</v>
      </c>
      <c r="Q903" s="1" t="s">
        <v>74</v>
      </c>
      <c r="R903" s="1"/>
      <c r="S903" s="1"/>
      <c r="T903" s="1">
        <v>2304400.0</v>
      </c>
      <c r="U903" s="1" t="s">
        <v>111</v>
      </c>
      <c r="V903" s="1" t="s">
        <v>112</v>
      </c>
      <c r="W903" s="1" t="s">
        <v>113</v>
      </c>
      <c r="X903" s="1"/>
      <c r="Y903" s="1" t="str">
        <f>"02007003943201978"</f>
        <v>02007003943201978</v>
      </c>
      <c r="Z903" s="1" t="s">
        <v>1267</v>
      </c>
      <c r="AA903" s="1" t="s">
        <v>3922</v>
      </c>
      <c r="AB903" s="1" t="str">
        <f>"***391328**"</f>
        <v>***391328**</v>
      </c>
      <c r="AC903" s="1"/>
      <c r="AD903" s="1" t="s">
        <v>116</v>
      </c>
      <c r="AE903" s="1"/>
      <c r="AF903" s="1">
        <v>0.0</v>
      </c>
      <c r="AG903" s="1">
        <v>0.0</v>
      </c>
      <c r="AH903" s="1" t="s">
        <v>3819</v>
      </c>
      <c r="AI903" s="1"/>
      <c r="AJ903" s="1"/>
      <c r="AK903" s="1"/>
      <c r="AL903" s="1" t="s">
        <v>118</v>
      </c>
      <c r="AM903" s="1"/>
      <c r="AN903" s="1"/>
      <c r="AO903" s="2">
        <v>43871.7254282407</v>
      </c>
      <c r="AP903" s="2">
        <v>43871.7254282407</v>
      </c>
      <c r="AQ903" s="1" t="s">
        <v>80</v>
      </c>
      <c r="AR903" s="1" t="s">
        <v>3923</v>
      </c>
      <c r="AS903" s="1"/>
      <c r="AT903" s="2">
        <v>44269.931099537</v>
      </c>
    </row>
    <row r="904" ht="13.5" customHeight="1">
      <c r="A904" s="1">
        <v>2034513.0</v>
      </c>
      <c r="B904" s="1" t="s">
        <v>67</v>
      </c>
      <c r="C904" s="1" t="s">
        <v>68</v>
      </c>
      <c r="D904" s="1" t="s">
        <v>46</v>
      </c>
      <c r="E904" s="1" t="s">
        <v>3924</v>
      </c>
      <c r="F904" s="1"/>
      <c r="G904" s="1" t="s">
        <v>70</v>
      </c>
      <c r="H904" s="1" t="s">
        <v>93</v>
      </c>
      <c r="I904" s="1">
        <v>65500.0</v>
      </c>
      <c r="J904" s="1"/>
      <c r="K904" s="1"/>
      <c r="L904" s="1" t="s">
        <v>106</v>
      </c>
      <c r="M904" s="1" t="s">
        <v>3801</v>
      </c>
      <c r="N904" s="1" t="s">
        <v>95</v>
      </c>
      <c r="O904" s="1" t="s">
        <v>96</v>
      </c>
      <c r="P904" s="2">
        <v>43798.5958333333</v>
      </c>
      <c r="Q904" s="1" t="s">
        <v>74</v>
      </c>
      <c r="R904" s="1"/>
      <c r="S904" s="1"/>
      <c r="T904" s="1">
        <v>2304400.0</v>
      </c>
      <c r="U904" s="1" t="s">
        <v>111</v>
      </c>
      <c r="V904" s="1" t="s">
        <v>112</v>
      </c>
      <c r="W904" s="1" t="s">
        <v>113</v>
      </c>
      <c r="X904" s="1"/>
      <c r="Y904" s="1" t="str">
        <f>"02007003944201912"</f>
        <v>02007003944201912</v>
      </c>
      <c r="Z904" s="1" t="s">
        <v>3814</v>
      </c>
      <c r="AA904" s="1" t="s">
        <v>3925</v>
      </c>
      <c r="AB904" s="1" t="str">
        <f>"***275203**"</f>
        <v>***275203**</v>
      </c>
      <c r="AC904" s="1"/>
      <c r="AD904" s="1" t="s">
        <v>116</v>
      </c>
      <c r="AE904" s="1"/>
      <c r="AF904" s="1">
        <v>0.0</v>
      </c>
      <c r="AG904" s="1">
        <v>0.0</v>
      </c>
      <c r="AH904" s="1" t="s">
        <v>3819</v>
      </c>
      <c r="AI904" s="1"/>
      <c r="AJ904" s="1"/>
      <c r="AK904" s="1"/>
      <c r="AL904" s="1" t="s">
        <v>118</v>
      </c>
      <c r="AM904" s="1"/>
      <c r="AN904" s="1"/>
      <c r="AO904" s="2">
        <v>43880.473287037</v>
      </c>
      <c r="AP904" s="2">
        <v>43880.473287037</v>
      </c>
      <c r="AQ904" s="1" t="s">
        <v>80</v>
      </c>
      <c r="AR904" s="1" t="s">
        <v>3805</v>
      </c>
      <c r="AS904" s="1"/>
      <c r="AT904" s="2">
        <v>44269.931099537</v>
      </c>
    </row>
    <row r="905" ht="13.5" customHeight="1">
      <c r="A905" s="1">
        <v>2035685.0</v>
      </c>
      <c r="B905" s="1" t="s">
        <v>67</v>
      </c>
      <c r="C905" s="1" t="s">
        <v>68</v>
      </c>
      <c r="D905" s="1" t="s">
        <v>46</v>
      </c>
      <c r="E905" s="1" t="s">
        <v>3926</v>
      </c>
      <c r="F905" s="1"/>
      <c r="G905" s="1" t="s">
        <v>70</v>
      </c>
      <c r="H905" s="1" t="s">
        <v>93</v>
      </c>
      <c r="I905" s="1">
        <v>2000.0</v>
      </c>
      <c r="J905" s="1"/>
      <c r="K905" s="1"/>
      <c r="L905" s="1" t="s">
        <v>106</v>
      </c>
      <c r="M905" s="1" t="s">
        <v>3927</v>
      </c>
      <c r="N905" s="1" t="s">
        <v>95</v>
      </c>
      <c r="O905" s="1" t="s">
        <v>96</v>
      </c>
      <c r="P905" s="2">
        <v>43798.5833333333</v>
      </c>
      <c r="Q905" s="1" t="s">
        <v>74</v>
      </c>
      <c r="R905" s="3">
        <v>43798.0</v>
      </c>
      <c r="S905" s="1"/>
      <c r="T905" s="1">
        <v>2304400.0</v>
      </c>
      <c r="U905" s="1" t="s">
        <v>111</v>
      </c>
      <c r="V905" s="1" t="s">
        <v>112</v>
      </c>
      <c r="W905" s="1" t="s">
        <v>113</v>
      </c>
      <c r="X905" s="1"/>
      <c r="Y905" s="1" t="str">
        <f>"02007001084202016"</f>
        <v>02007001084202016</v>
      </c>
      <c r="Z905" s="1" t="s">
        <v>98</v>
      </c>
      <c r="AA905" s="1" t="s">
        <v>3928</v>
      </c>
      <c r="AB905" s="1" t="str">
        <f>"***203893**"</f>
        <v>***203893**</v>
      </c>
      <c r="AC905" s="1"/>
      <c r="AD905" s="1"/>
      <c r="AE905" s="1"/>
      <c r="AF905" s="1">
        <v>-38.623608</v>
      </c>
      <c r="AG905" s="1">
        <v>-3.780833</v>
      </c>
      <c r="AH905" s="1" t="s">
        <v>3803</v>
      </c>
      <c r="AI905" s="1"/>
      <c r="AJ905" s="1" t="s">
        <v>106</v>
      </c>
      <c r="AK905" s="1"/>
      <c r="AL905" s="1" t="s">
        <v>79</v>
      </c>
      <c r="AM905" s="1" t="s">
        <v>65</v>
      </c>
      <c r="AN905" s="1" t="s">
        <v>3804</v>
      </c>
      <c r="AO905" s="2">
        <v>43914.0</v>
      </c>
      <c r="AP905" s="2">
        <v>43914.3967476852</v>
      </c>
      <c r="AQ905" s="1" t="s">
        <v>80</v>
      </c>
      <c r="AR905" s="1" t="s">
        <v>475</v>
      </c>
      <c r="AS905" s="1"/>
      <c r="AT905" s="2">
        <v>44269.931099537</v>
      </c>
    </row>
    <row r="906" ht="13.5" customHeight="1">
      <c r="A906" s="1">
        <v>2037931.0</v>
      </c>
      <c r="B906" s="1" t="s">
        <v>67</v>
      </c>
      <c r="C906" s="1" t="s">
        <v>89</v>
      </c>
      <c r="D906" s="1" t="s">
        <v>67</v>
      </c>
      <c r="E906" s="1" t="s">
        <v>3929</v>
      </c>
      <c r="F906" s="1"/>
      <c r="G906" s="1" t="s">
        <v>70</v>
      </c>
      <c r="H906" s="1" t="s">
        <v>50</v>
      </c>
      <c r="I906" s="1">
        <v>805000.0</v>
      </c>
      <c r="J906" s="1"/>
      <c r="K906" s="1"/>
      <c r="L906" s="1" t="s">
        <v>65</v>
      </c>
      <c r="M906" s="1" t="s">
        <v>220</v>
      </c>
      <c r="N906" s="1" t="s">
        <v>283</v>
      </c>
      <c r="O906" s="1" t="s">
        <v>978</v>
      </c>
      <c r="P906" s="2">
        <v>43798.5833333333</v>
      </c>
      <c r="Q906" s="1" t="s">
        <v>74</v>
      </c>
      <c r="R906" s="1"/>
      <c r="S906" s="1"/>
      <c r="T906" s="1">
        <v>3509205.0</v>
      </c>
      <c r="U906" s="1" t="s">
        <v>2443</v>
      </c>
      <c r="V906" s="1" t="s">
        <v>58</v>
      </c>
      <c r="W906" s="1" t="s">
        <v>59</v>
      </c>
      <c r="X906" s="1"/>
      <c r="Y906" s="1" t="str">
        <f>"02001034609201916"</f>
        <v>02001034609201916</v>
      </c>
      <c r="Z906" s="1" t="s">
        <v>980</v>
      </c>
      <c r="AA906" s="1" t="s">
        <v>3930</v>
      </c>
      <c r="AB906" s="1" t="str">
        <f>"61531620001709"</f>
        <v>61531620001709</v>
      </c>
      <c r="AC906" s="1"/>
      <c r="AD906" s="1" t="s">
        <v>116</v>
      </c>
      <c r="AE906" s="1"/>
      <c r="AF906" s="1">
        <v>-46.876944</v>
      </c>
      <c r="AG906" s="1">
        <v>-23.356111</v>
      </c>
      <c r="AH906" s="1" t="s">
        <v>3931</v>
      </c>
      <c r="AI906" s="1"/>
      <c r="AJ906" s="1" t="s">
        <v>64</v>
      </c>
      <c r="AK906" s="1"/>
      <c r="AL906" s="1" t="s">
        <v>118</v>
      </c>
      <c r="AM906" s="1" t="s">
        <v>65</v>
      </c>
      <c r="AN906" s="1" t="s">
        <v>983</v>
      </c>
      <c r="AO906" s="2">
        <v>44014.0</v>
      </c>
      <c r="AP906" s="2">
        <v>44266.6671759259</v>
      </c>
      <c r="AQ906" s="1" t="s">
        <v>89</v>
      </c>
      <c r="AR906" s="1" t="s">
        <v>462</v>
      </c>
      <c r="AS906" s="1"/>
      <c r="AT906" s="2">
        <v>44269.931099537</v>
      </c>
    </row>
    <row r="907" ht="13.5" customHeight="1">
      <c r="A907" s="1">
        <v>2037964.0</v>
      </c>
      <c r="B907" s="1" t="s">
        <v>67</v>
      </c>
      <c r="C907" s="1" t="s">
        <v>68</v>
      </c>
      <c r="D907" s="1" t="s">
        <v>46</v>
      </c>
      <c r="E907" s="1" t="s">
        <v>3932</v>
      </c>
      <c r="F907" s="1"/>
      <c r="G907" s="1" t="s">
        <v>70</v>
      </c>
      <c r="H907" s="1" t="s">
        <v>50</v>
      </c>
      <c r="I907" s="1">
        <v>405000.0</v>
      </c>
      <c r="J907" s="1"/>
      <c r="K907" s="1"/>
      <c r="L907" s="1" t="s">
        <v>65</v>
      </c>
      <c r="M907" s="1" t="s">
        <v>976</v>
      </c>
      <c r="N907" s="1" t="s">
        <v>283</v>
      </c>
      <c r="O907" s="1" t="s">
        <v>978</v>
      </c>
      <c r="P907" s="2">
        <v>43798.5833333333</v>
      </c>
      <c r="Q907" s="1" t="s">
        <v>74</v>
      </c>
      <c r="R907" s="1"/>
      <c r="S907" s="1"/>
      <c r="T907" s="1">
        <v>3205002.0</v>
      </c>
      <c r="U907" s="1" t="s">
        <v>979</v>
      </c>
      <c r="V907" s="1" t="s">
        <v>403</v>
      </c>
      <c r="W907" s="1" t="s">
        <v>59</v>
      </c>
      <c r="X907" s="1"/>
      <c r="Y907" s="1" t="str">
        <f>"02001035940201953"</f>
        <v>02001035940201953</v>
      </c>
      <c r="Z907" s="1" t="s">
        <v>980</v>
      </c>
      <c r="AA907" s="1" t="s">
        <v>3933</v>
      </c>
      <c r="AB907" s="1" t="str">
        <f>"02135974000108"</f>
        <v>02135974000108</v>
      </c>
      <c r="AC907" s="1"/>
      <c r="AD907" s="1" t="s">
        <v>116</v>
      </c>
      <c r="AE907" s="1"/>
      <c r="AF907" s="1">
        <v>-40.381667</v>
      </c>
      <c r="AG907" s="1">
        <v>-20.241944</v>
      </c>
      <c r="AH907" s="1" t="s">
        <v>982</v>
      </c>
      <c r="AI907" s="1"/>
      <c r="AJ907" s="1" t="s">
        <v>172</v>
      </c>
      <c r="AK907" s="1"/>
      <c r="AL907" s="1" t="s">
        <v>118</v>
      </c>
      <c r="AM907" s="1" t="s">
        <v>65</v>
      </c>
      <c r="AN907" s="1" t="s">
        <v>983</v>
      </c>
      <c r="AO907" s="2">
        <v>44015.0</v>
      </c>
      <c r="AP907" s="2">
        <v>44015.738912037</v>
      </c>
      <c r="AQ907" s="1" t="s">
        <v>80</v>
      </c>
      <c r="AR907" s="1" t="s">
        <v>1050</v>
      </c>
      <c r="AS907" s="1" t="s">
        <v>2383</v>
      </c>
      <c r="AT907" s="2">
        <v>44269.931099537</v>
      </c>
    </row>
    <row r="908" ht="13.5" customHeight="1">
      <c r="A908" s="1">
        <v>2034530.0</v>
      </c>
      <c r="B908" s="1" t="s">
        <v>67</v>
      </c>
      <c r="C908" s="1" t="s">
        <v>68</v>
      </c>
      <c r="D908" s="1" t="s">
        <v>46</v>
      </c>
      <c r="E908" s="1" t="s">
        <v>3934</v>
      </c>
      <c r="F908" s="1"/>
      <c r="G908" s="1" t="s">
        <v>70</v>
      </c>
      <c r="H908" s="1" t="s">
        <v>93</v>
      </c>
      <c r="I908" s="1">
        <v>65500.0</v>
      </c>
      <c r="J908" s="1"/>
      <c r="K908" s="1"/>
      <c r="L908" s="1" t="s">
        <v>106</v>
      </c>
      <c r="M908" s="1" t="s">
        <v>3801</v>
      </c>
      <c r="N908" s="1" t="s">
        <v>95</v>
      </c>
      <c r="O908" s="1" t="s">
        <v>96</v>
      </c>
      <c r="P908" s="2">
        <v>43798.5791666667</v>
      </c>
      <c r="Q908" s="1" t="s">
        <v>74</v>
      </c>
      <c r="R908" s="1"/>
      <c r="S908" s="1"/>
      <c r="T908" s="1">
        <v>2307650.0</v>
      </c>
      <c r="U908" s="1" t="s">
        <v>1477</v>
      </c>
      <c r="V908" s="1" t="s">
        <v>112</v>
      </c>
      <c r="W908" s="1" t="s">
        <v>113</v>
      </c>
      <c r="X908" s="1"/>
      <c r="Y908" s="1" t="str">
        <f>"02007003903201926"</f>
        <v>02007003903201926</v>
      </c>
      <c r="Z908" s="1" t="s">
        <v>3814</v>
      </c>
      <c r="AA908" s="1" t="s">
        <v>3928</v>
      </c>
      <c r="AB908" s="1" t="str">
        <f>"***203893**"</f>
        <v>***203893**</v>
      </c>
      <c r="AC908" s="1"/>
      <c r="AD908" s="1" t="s">
        <v>116</v>
      </c>
      <c r="AE908" s="1"/>
      <c r="AF908" s="1">
        <v>0.0</v>
      </c>
      <c r="AG908" s="1">
        <v>0.0</v>
      </c>
      <c r="AH908" s="1" t="s">
        <v>3819</v>
      </c>
      <c r="AI908" s="1"/>
      <c r="AJ908" s="1"/>
      <c r="AK908" s="1"/>
      <c r="AL908" s="1" t="s">
        <v>118</v>
      </c>
      <c r="AM908" s="1"/>
      <c r="AN908" s="1"/>
      <c r="AO908" s="2">
        <v>43887.5827083333</v>
      </c>
      <c r="AP908" s="2">
        <v>43887.5827083333</v>
      </c>
      <c r="AQ908" s="1" t="s">
        <v>80</v>
      </c>
      <c r="AR908" s="1" t="s">
        <v>3805</v>
      </c>
      <c r="AS908" s="1"/>
      <c r="AT908" s="2">
        <v>44269.931099537</v>
      </c>
    </row>
    <row r="909" ht="13.5" customHeight="1">
      <c r="A909" s="1"/>
      <c r="B909" s="1" t="s">
        <v>46</v>
      </c>
      <c r="C909" s="1" t="s">
        <v>47</v>
      </c>
      <c r="D909" s="1"/>
      <c r="E909" s="1" t="s">
        <v>3935</v>
      </c>
      <c r="F909" s="1"/>
      <c r="G909" s="1" t="s">
        <v>49</v>
      </c>
      <c r="H909" s="1" t="s">
        <v>93</v>
      </c>
      <c r="I909" s="1">
        <v>10000.0</v>
      </c>
      <c r="J909" s="1"/>
      <c r="K909" s="1" t="s">
        <v>51</v>
      </c>
      <c r="L909" s="1"/>
      <c r="M909" s="1" t="s">
        <v>3936</v>
      </c>
      <c r="N909" s="1" t="s">
        <v>977</v>
      </c>
      <c r="O909" s="1" t="s">
        <v>978</v>
      </c>
      <c r="P909" s="2">
        <v>43798.5676273148</v>
      </c>
      <c r="Q909" s="1" t="s">
        <v>373</v>
      </c>
      <c r="R909" s="1"/>
      <c r="S909" s="1"/>
      <c r="T909" s="1">
        <v>5220504.0</v>
      </c>
      <c r="U909" s="1" t="s">
        <v>3937</v>
      </c>
      <c r="V909" s="1" t="s">
        <v>375</v>
      </c>
      <c r="W909" s="1" t="s">
        <v>127</v>
      </c>
      <c r="X909" s="1"/>
      <c r="Y909" s="1"/>
      <c r="Z909" s="1" t="s">
        <v>980</v>
      </c>
      <c r="AA909" s="1" t="s">
        <v>3938</v>
      </c>
      <c r="AB909" s="1" t="str">
        <f>"***384241**"</f>
        <v>***384241**</v>
      </c>
      <c r="AC909" s="1"/>
      <c r="AD909" s="1" t="s">
        <v>62</v>
      </c>
      <c r="AE909" s="1"/>
      <c r="AF909" s="1">
        <v>-52.145275</v>
      </c>
      <c r="AG909" s="1">
        <v>-18.238054</v>
      </c>
      <c r="AH909" s="1" t="s">
        <v>3939</v>
      </c>
      <c r="AI909" s="1"/>
      <c r="AJ909" s="1" t="s">
        <v>371</v>
      </c>
      <c r="AK909" s="1"/>
      <c r="AL909" s="1"/>
      <c r="AM909" s="1" t="s">
        <v>65</v>
      </c>
      <c r="AN909" s="1" t="s">
        <v>1551</v>
      </c>
      <c r="AO909" s="1"/>
      <c r="AP909" s="2">
        <v>43798.5883333333</v>
      </c>
      <c r="AQ909" s="1"/>
      <c r="AR909" s="1" t="s">
        <v>1756</v>
      </c>
      <c r="AS909" s="1" t="s">
        <v>2231</v>
      </c>
      <c r="AT909" s="2">
        <v>44269.931099537</v>
      </c>
    </row>
    <row r="910" ht="13.5" customHeight="1">
      <c r="A910" s="1">
        <v>2034471.0</v>
      </c>
      <c r="B910" s="1" t="s">
        <v>67</v>
      </c>
      <c r="C910" s="1" t="s">
        <v>68</v>
      </c>
      <c r="D910" s="1" t="s">
        <v>46</v>
      </c>
      <c r="E910" s="1" t="s">
        <v>3940</v>
      </c>
      <c r="F910" s="1"/>
      <c r="G910" s="1" t="s">
        <v>70</v>
      </c>
      <c r="H910" s="1" t="s">
        <v>93</v>
      </c>
      <c r="I910" s="1">
        <v>2000.0</v>
      </c>
      <c r="J910" s="1"/>
      <c r="K910" s="1"/>
      <c r="L910" s="1" t="s">
        <v>106</v>
      </c>
      <c r="M910" s="1" t="s">
        <v>3941</v>
      </c>
      <c r="N910" s="1" t="s">
        <v>95</v>
      </c>
      <c r="O910" s="1"/>
      <c r="P910" s="2">
        <v>43798.5666666667</v>
      </c>
      <c r="Q910" s="1" t="s">
        <v>74</v>
      </c>
      <c r="R910" s="1"/>
      <c r="S910" s="1"/>
      <c r="T910" s="1">
        <v>2307650.0</v>
      </c>
      <c r="U910" s="1" t="s">
        <v>1477</v>
      </c>
      <c r="V910" s="1" t="s">
        <v>112</v>
      </c>
      <c r="W910" s="1" t="s">
        <v>113</v>
      </c>
      <c r="X910" s="1"/>
      <c r="Y910" s="1" t="str">
        <f>"02007003904201971"</f>
        <v>02007003904201971</v>
      </c>
      <c r="Z910" s="1" t="s">
        <v>1267</v>
      </c>
      <c r="AA910" s="1" t="s">
        <v>3928</v>
      </c>
      <c r="AB910" s="1" t="str">
        <f>"***203893**"</f>
        <v>***203893**</v>
      </c>
      <c r="AC910" s="1"/>
      <c r="AD910" s="1" t="s">
        <v>116</v>
      </c>
      <c r="AE910" s="1"/>
      <c r="AF910" s="1">
        <v>0.0</v>
      </c>
      <c r="AG910" s="1">
        <v>0.0</v>
      </c>
      <c r="AH910" s="1" t="s">
        <v>3819</v>
      </c>
      <c r="AI910" s="1"/>
      <c r="AJ910" s="1"/>
      <c r="AK910" s="1"/>
      <c r="AL910" s="1" t="s">
        <v>118</v>
      </c>
      <c r="AM910" s="1"/>
      <c r="AN910" s="1"/>
      <c r="AO910" s="2">
        <v>43873.7425810185</v>
      </c>
      <c r="AP910" s="2">
        <v>43873.7425810185</v>
      </c>
      <c r="AQ910" s="1" t="s">
        <v>80</v>
      </c>
      <c r="AR910" s="1" t="s">
        <v>1270</v>
      </c>
      <c r="AS910" s="1"/>
      <c r="AT910" s="2">
        <v>44269.931099537</v>
      </c>
    </row>
    <row r="911" ht="13.5" customHeight="1">
      <c r="A911" s="1">
        <v>2044159.0</v>
      </c>
      <c r="B911" s="1" t="s">
        <v>67</v>
      </c>
      <c r="C911" s="1" t="s">
        <v>68</v>
      </c>
      <c r="D911" s="1" t="s">
        <v>46</v>
      </c>
      <c r="E911" s="1" t="s">
        <v>3942</v>
      </c>
      <c r="F911" s="1"/>
      <c r="G911" s="1" t="s">
        <v>70</v>
      </c>
      <c r="H911" s="1" t="s">
        <v>93</v>
      </c>
      <c r="I911" s="1">
        <v>13602.9</v>
      </c>
      <c r="J911" s="1"/>
      <c r="K911" s="1"/>
      <c r="L911" s="1" t="s">
        <v>501</v>
      </c>
      <c r="M911" s="1" t="s">
        <v>3943</v>
      </c>
      <c r="N911" s="1" t="s">
        <v>142</v>
      </c>
      <c r="O911" s="1" t="s">
        <v>143</v>
      </c>
      <c r="P911" s="2">
        <v>43798.5583333333</v>
      </c>
      <c r="Q911" s="1" t="s">
        <v>373</v>
      </c>
      <c r="R911" s="1"/>
      <c r="S911" s="1"/>
      <c r="T911" s="1">
        <v>2403251.0</v>
      </c>
      <c r="U911" s="1" t="s">
        <v>2889</v>
      </c>
      <c r="V911" s="1" t="s">
        <v>1424</v>
      </c>
      <c r="W911" s="1" t="s">
        <v>288</v>
      </c>
      <c r="X911" s="1"/>
      <c r="Y911" s="1" t="str">
        <f>"02021002162201988"</f>
        <v>02021002162201988</v>
      </c>
      <c r="Z911" s="1" t="s">
        <v>147</v>
      </c>
      <c r="AA911" s="1" t="s">
        <v>3944</v>
      </c>
      <c r="AB911" s="1" t="str">
        <f>"31124703000155"</f>
        <v>31124703000155</v>
      </c>
      <c r="AC911" s="1"/>
      <c r="AD911" s="1" t="s">
        <v>116</v>
      </c>
      <c r="AE911" s="1"/>
      <c r="AF911" s="1">
        <v>-35.250833</v>
      </c>
      <c r="AG911" s="1">
        <v>-5.890556</v>
      </c>
      <c r="AH911" s="1" t="s">
        <v>3945</v>
      </c>
      <c r="AI911" s="1"/>
      <c r="AJ911" s="1"/>
      <c r="AK911" s="1"/>
      <c r="AL911" s="1" t="s">
        <v>118</v>
      </c>
      <c r="AM911" s="1"/>
      <c r="AN911" s="1"/>
      <c r="AO911" s="2">
        <v>44264.4744675926</v>
      </c>
      <c r="AP911" s="2">
        <v>44264.4749421296</v>
      </c>
      <c r="AQ911" s="1" t="s">
        <v>80</v>
      </c>
      <c r="AR911" s="1" t="s">
        <v>3946</v>
      </c>
      <c r="AS911" s="1" t="s">
        <v>3947</v>
      </c>
      <c r="AT911" s="2">
        <v>44269.931099537</v>
      </c>
    </row>
    <row r="912" ht="13.5" customHeight="1">
      <c r="A912" s="1"/>
      <c r="B912" s="1" t="s">
        <v>46</v>
      </c>
      <c r="C912" s="1" t="s">
        <v>657</v>
      </c>
      <c r="D912" s="1" t="s">
        <v>67</v>
      </c>
      <c r="E912" s="1" t="s">
        <v>3948</v>
      </c>
      <c r="F912" s="1"/>
      <c r="G912" s="1" t="s">
        <v>49</v>
      </c>
      <c r="H912" s="1" t="s">
        <v>50</v>
      </c>
      <c r="I912" s="1">
        <v>3580.0</v>
      </c>
      <c r="J912" s="1"/>
      <c r="K912" s="1" t="s">
        <v>51</v>
      </c>
      <c r="L912" s="1"/>
      <c r="M912" s="1" t="s">
        <v>3949</v>
      </c>
      <c r="N912" s="1" t="s">
        <v>53</v>
      </c>
      <c r="O912" s="1" t="s">
        <v>54</v>
      </c>
      <c r="P912" s="2">
        <v>43798.5496180556</v>
      </c>
      <c r="Q912" s="1" t="s">
        <v>74</v>
      </c>
      <c r="R912" s="1"/>
      <c r="S912" s="1"/>
      <c r="T912" s="1">
        <v>3550308.0</v>
      </c>
      <c r="U912" s="1" t="s">
        <v>607</v>
      </c>
      <c r="V912" s="1" t="s">
        <v>58</v>
      </c>
      <c r="W912" s="1" t="s">
        <v>59</v>
      </c>
      <c r="X912" s="1"/>
      <c r="Y912" s="1"/>
      <c r="Z912" s="1" t="s">
        <v>60</v>
      </c>
      <c r="AA912" s="1" t="s">
        <v>3950</v>
      </c>
      <c r="AB912" s="1" t="str">
        <f>"***925058**"</f>
        <v>***925058**</v>
      </c>
      <c r="AC912" s="1"/>
      <c r="AD912" s="1" t="s">
        <v>62</v>
      </c>
      <c r="AE912" s="1"/>
      <c r="AF912" s="1">
        <v>-46.738335</v>
      </c>
      <c r="AG912" s="1">
        <v>-23.528334</v>
      </c>
      <c r="AH912" s="1" t="s">
        <v>3951</v>
      </c>
      <c r="AI912" s="1"/>
      <c r="AJ912" s="1" t="s">
        <v>64</v>
      </c>
      <c r="AK912" s="1"/>
      <c r="AL912" s="1"/>
      <c r="AM912" s="1" t="s">
        <v>65</v>
      </c>
      <c r="AN912" s="1"/>
      <c r="AO912" s="1"/>
      <c r="AP912" s="2">
        <v>43798.5570949074</v>
      </c>
      <c r="AQ912" s="1"/>
      <c r="AR912" s="1" t="s">
        <v>3952</v>
      </c>
      <c r="AS912" s="1"/>
      <c r="AT912" s="2">
        <v>44269.931099537</v>
      </c>
    </row>
    <row r="913" ht="13.5" customHeight="1">
      <c r="A913" s="1">
        <v>2038777.0</v>
      </c>
      <c r="B913" s="1" t="s">
        <v>67</v>
      </c>
      <c r="C913" s="1" t="s">
        <v>68</v>
      </c>
      <c r="D913" s="1" t="s">
        <v>46</v>
      </c>
      <c r="E913" s="1" t="s">
        <v>3953</v>
      </c>
      <c r="F913" s="1"/>
      <c r="G913" s="1" t="s">
        <v>70</v>
      </c>
      <c r="H913" s="1" t="s">
        <v>50</v>
      </c>
      <c r="I913" s="1">
        <v>500.0</v>
      </c>
      <c r="J913" s="1"/>
      <c r="K913" s="1"/>
      <c r="L913" s="1" t="s">
        <v>587</v>
      </c>
      <c r="M913" s="1" t="s">
        <v>3954</v>
      </c>
      <c r="N913" s="1" t="s">
        <v>95</v>
      </c>
      <c r="O913" s="1" t="s">
        <v>96</v>
      </c>
      <c r="P913" s="2">
        <v>43798.5416666667</v>
      </c>
      <c r="Q913" s="1" t="s">
        <v>373</v>
      </c>
      <c r="R913" s="3">
        <v>43798.0</v>
      </c>
      <c r="S913" s="1"/>
      <c r="T913" s="1">
        <v>3112307.0</v>
      </c>
      <c r="U913" s="1" t="s">
        <v>1829</v>
      </c>
      <c r="V913" s="1" t="s">
        <v>126</v>
      </c>
      <c r="W913" s="1" t="s">
        <v>127</v>
      </c>
      <c r="X913" s="1"/>
      <c r="Y913" s="1" t="str">
        <f>"02566000430201970"</f>
        <v>02566000430201970</v>
      </c>
      <c r="Z913" s="1" t="s">
        <v>98</v>
      </c>
      <c r="AA913" s="1" t="s">
        <v>3955</v>
      </c>
      <c r="AB913" s="1" t="str">
        <f>"***216816**"</f>
        <v>***216816**</v>
      </c>
      <c r="AC913" s="1"/>
      <c r="AD913" s="1"/>
      <c r="AE913" s="1"/>
      <c r="AF913" s="1">
        <v>-42.530834</v>
      </c>
      <c r="AG913" s="1">
        <v>-17.700834</v>
      </c>
      <c r="AH913" s="1" t="s">
        <v>3956</v>
      </c>
      <c r="AI913" s="1"/>
      <c r="AJ913" s="1" t="s">
        <v>587</v>
      </c>
      <c r="AK913" s="1"/>
      <c r="AL913" s="1" t="s">
        <v>79</v>
      </c>
      <c r="AM913" s="1" t="s">
        <v>65</v>
      </c>
      <c r="AN913" s="1" t="s">
        <v>592</v>
      </c>
      <c r="AO913" s="2">
        <v>44046.0</v>
      </c>
      <c r="AP913" s="2">
        <v>44046.6080324074</v>
      </c>
      <c r="AQ913" s="1" t="s">
        <v>80</v>
      </c>
      <c r="AR913" s="1" t="s">
        <v>593</v>
      </c>
      <c r="AS913" s="1"/>
      <c r="AT913" s="2">
        <v>44269.931099537</v>
      </c>
    </row>
    <row r="914" ht="13.5" customHeight="1">
      <c r="A914" s="1">
        <v>2043903.0</v>
      </c>
      <c r="B914" s="1" t="s">
        <v>67</v>
      </c>
      <c r="C914" s="1" t="s">
        <v>68</v>
      </c>
      <c r="D914" s="1" t="s">
        <v>46</v>
      </c>
      <c r="E914" s="1" t="s">
        <v>3957</v>
      </c>
      <c r="F914" s="1"/>
      <c r="G914" s="1" t="s">
        <v>70</v>
      </c>
      <c r="H914" s="1" t="s">
        <v>93</v>
      </c>
      <c r="I914" s="1">
        <v>15000.0</v>
      </c>
      <c r="J914" s="1"/>
      <c r="K914" s="1"/>
      <c r="L914" s="1" t="s">
        <v>65</v>
      </c>
      <c r="M914" s="1" t="s">
        <v>3958</v>
      </c>
      <c r="N914" s="1" t="s">
        <v>283</v>
      </c>
      <c r="O914" s="1" t="s">
        <v>978</v>
      </c>
      <c r="P914" s="2">
        <v>43798.5416666667</v>
      </c>
      <c r="Q914" s="1" t="s">
        <v>74</v>
      </c>
      <c r="R914" s="1"/>
      <c r="S914" s="1"/>
      <c r="T914" s="1">
        <v>3538709.0</v>
      </c>
      <c r="U914" s="1" t="s">
        <v>2877</v>
      </c>
      <c r="V914" s="1" t="s">
        <v>58</v>
      </c>
      <c r="W914" s="1" t="s">
        <v>59</v>
      </c>
      <c r="X914" s="1"/>
      <c r="Y914" s="1" t="str">
        <f>"02001035388201901"</f>
        <v>02001035388201901</v>
      </c>
      <c r="Z914" s="1" t="s">
        <v>980</v>
      </c>
      <c r="AA914" s="1" t="s">
        <v>3959</v>
      </c>
      <c r="AB914" s="1" t="str">
        <f>"04754557000179"</f>
        <v>04754557000179</v>
      </c>
      <c r="AC914" s="1"/>
      <c r="AD914" s="1" t="s">
        <v>116</v>
      </c>
      <c r="AE914" s="1"/>
      <c r="AF914" s="1">
        <v>-47.699167</v>
      </c>
      <c r="AG914" s="1">
        <v>-22.763333</v>
      </c>
      <c r="AH914" s="1" t="s">
        <v>3960</v>
      </c>
      <c r="AI914" s="1"/>
      <c r="AJ914" s="1" t="s">
        <v>172</v>
      </c>
      <c r="AK914" s="1" t="s">
        <v>3682</v>
      </c>
      <c r="AL914" s="1" t="s">
        <v>79</v>
      </c>
      <c r="AM914" s="1" t="s">
        <v>65</v>
      </c>
      <c r="AN914" s="1" t="s">
        <v>983</v>
      </c>
      <c r="AO914" s="2">
        <v>44257.0</v>
      </c>
      <c r="AP914" s="2">
        <v>44257.659837963</v>
      </c>
      <c r="AQ914" s="1" t="s">
        <v>80</v>
      </c>
      <c r="AR914" s="1" t="s">
        <v>3961</v>
      </c>
      <c r="AS914" s="1" t="s">
        <v>3603</v>
      </c>
      <c r="AT914" s="2">
        <v>44269.931099537</v>
      </c>
    </row>
    <row r="915" ht="13.5" customHeight="1">
      <c r="A915" s="1"/>
      <c r="B915" s="1" t="s">
        <v>46</v>
      </c>
      <c r="C915" s="1" t="s">
        <v>657</v>
      </c>
      <c r="D915" s="1" t="s">
        <v>67</v>
      </c>
      <c r="E915" s="1" t="s">
        <v>3962</v>
      </c>
      <c r="F915" s="1"/>
      <c r="G915" s="1" t="s">
        <v>49</v>
      </c>
      <c r="H915" s="1" t="s">
        <v>50</v>
      </c>
      <c r="I915" s="1">
        <v>3580.0</v>
      </c>
      <c r="J915" s="1"/>
      <c r="K915" s="1" t="s">
        <v>51</v>
      </c>
      <c r="L915" s="1"/>
      <c r="M915" s="1"/>
      <c r="N915" s="1" t="s">
        <v>53</v>
      </c>
      <c r="O915" s="1" t="s">
        <v>54</v>
      </c>
      <c r="P915" s="2">
        <v>43798.5413310185</v>
      </c>
      <c r="Q915" s="1" t="s">
        <v>74</v>
      </c>
      <c r="R915" s="1"/>
      <c r="S915" s="1"/>
      <c r="T915" s="1">
        <v>3550308.0</v>
      </c>
      <c r="U915" s="1" t="s">
        <v>607</v>
      </c>
      <c r="V915" s="1" t="s">
        <v>58</v>
      </c>
      <c r="W915" s="1" t="s">
        <v>59</v>
      </c>
      <c r="X915" s="1"/>
      <c r="Y915" s="1"/>
      <c r="Z915" s="1" t="s">
        <v>60</v>
      </c>
      <c r="AA915" s="1" t="s">
        <v>3950</v>
      </c>
      <c r="AB915" s="1" t="str">
        <f>"***925058**"</f>
        <v>***925058**</v>
      </c>
      <c r="AC915" s="1"/>
      <c r="AD915" s="1" t="s">
        <v>62</v>
      </c>
      <c r="AE915" s="1"/>
      <c r="AF915" s="1">
        <v>-46.738335</v>
      </c>
      <c r="AG915" s="1">
        <v>-23.52861</v>
      </c>
      <c r="AH915" s="1" t="s">
        <v>3951</v>
      </c>
      <c r="AI915" s="1"/>
      <c r="AJ915" s="1" t="s">
        <v>64</v>
      </c>
      <c r="AK915" s="1"/>
      <c r="AL915" s="1"/>
      <c r="AM915" s="1" t="s">
        <v>65</v>
      </c>
      <c r="AN915" s="1"/>
      <c r="AO915" s="1"/>
      <c r="AP915" s="2">
        <v>43798.5463657407</v>
      </c>
      <c r="AQ915" s="1"/>
      <c r="AR915" s="1" t="s">
        <v>360</v>
      </c>
      <c r="AS915" s="1"/>
      <c r="AT915" s="2">
        <v>44269.931099537</v>
      </c>
    </row>
    <row r="916" ht="13.5" customHeight="1">
      <c r="A916" s="1">
        <v>2035059.0</v>
      </c>
      <c r="B916" s="1" t="s">
        <v>67</v>
      </c>
      <c r="C916" s="1" t="s">
        <v>68</v>
      </c>
      <c r="D916" s="1" t="s">
        <v>46</v>
      </c>
      <c r="E916" s="1" t="s">
        <v>3963</v>
      </c>
      <c r="F916" s="1"/>
      <c r="G916" s="1" t="s">
        <v>70</v>
      </c>
      <c r="H916" s="1" t="s">
        <v>93</v>
      </c>
      <c r="I916" s="1">
        <v>310000.0</v>
      </c>
      <c r="J916" s="1"/>
      <c r="K916" s="1"/>
      <c r="L916" s="1" t="s">
        <v>65</v>
      </c>
      <c r="M916" s="1" t="s">
        <v>3964</v>
      </c>
      <c r="N916" s="1" t="s">
        <v>142</v>
      </c>
      <c r="O916" s="1" t="s">
        <v>143</v>
      </c>
      <c r="P916" s="2">
        <v>43798.5</v>
      </c>
      <c r="Q916" s="1" t="s">
        <v>373</v>
      </c>
      <c r="R916" s="3">
        <v>43798.0</v>
      </c>
      <c r="S916" s="1"/>
      <c r="T916" s="1">
        <v>1200500.0</v>
      </c>
      <c r="U916" s="1" t="s">
        <v>3965</v>
      </c>
      <c r="V916" s="1" t="s">
        <v>498</v>
      </c>
      <c r="W916" s="1" t="s">
        <v>177</v>
      </c>
      <c r="X916" s="1"/>
      <c r="Y916" s="1" t="str">
        <f>"02002002333201905"</f>
        <v>02002002333201905</v>
      </c>
      <c r="Z916" s="1" t="s">
        <v>147</v>
      </c>
      <c r="AA916" s="1" t="s">
        <v>3966</v>
      </c>
      <c r="AB916" s="1" t="str">
        <f>"***935622**"</f>
        <v>***935622**</v>
      </c>
      <c r="AC916" s="1"/>
      <c r="AD916" s="1" t="s">
        <v>116</v>
      </c>
      <c r="AE916" s="1"/>
      <c r="AF916" s="1">
        <v>-68.950278</v>
      </c>
      <c r="AG916" s="1">
        <v>-9.0725</v>
      </c>
      <c r="AH916" s="1" t="s">
        <v>3967</v>
      </c>
      <c r="AI916" s="1"/>
      <c r="AJ916" s="1" t="s">
        <v>172</v>
      </c>
      <c r="AK916" s="1"/>
      <c r="AL916" s="1" t="s">
        <v>118</v>
      </c>
      <c r="AM916" s="1" t="s">
        <v>65</v>
      </c>
      <c r="AN916" s="1" t="s">
        <v>1395</v>
      </c>
      <c r="AO916" s="2">
        <v>43894.0</v>
      </c>
      <c r="AP916" s="2">
        <v>44085.4459837963</v>
      </c>
      <c r="AQ916" s="1" t="s">
        <v>80</v>
      </c>
      <c r="AR916" s="1" t="s">
        <v>421</v>
      </c>
      <c r="AS916" s="1"/>
      <c r="AT916" s="2">
        <v>44269.931099537</v>
      </c>
    </row>
    <row r="917" ht="13.5" customHeight="1">
      <c r="A917" s="1"/>
      <c r="B917" s="1" t="s">
        <v>46</v>
      </c>
      <c r="C917" s="1" t="s">
        <v>47</v>
      </c>
      <c r="D917" s="1"/>
      <c r="E917" s="1" t="s">
        <v>3968</v>
      </c>
      <c r="F917" s="1"/>
      <c r="G917" s="1" t="s">
        <v>49</v>
      </c>
      <c r="H917" s="1" t="s">
        <v>50</v>
      </c>
      <c r="I917" s="1">
        <v>85000.0</v>
      </c>
      <c r="J917" s="1"/>
      <c r="K917" s="1" t="s">
        <v>51</v>
      </c>
      <c r="L917" s="1"/>
      <c r="M917" s="1" t="s">
        <v>976</v>
      </c>
      <c r="N917" s="1" t="s">
        <v>977</v>
      </c>
      <c r="O917" s="1" t="s">
        <v>978</v>
      </c>
      <c r="P917" s="2">
        <v>43798.4850694444</v>
      </c>
      <c r="Q917" s="1" t="s">
        <v>74</v>
      </c>
      <c r="R917" s="1"/>
      <c r="S917" s="1"/>
      <c r="T917" s="1">
        <v>3550308.0</v>
      </c>
      <c r="U917" s="1" t="s">
        <v>607</v>
      </c>
      <c r="V917" s="1" t="s">
        <v>58</v>
      </c>
      <c r="W917" s="1" t="s">
        <v>59</v>
      </c>
      <c r="X917" s="1"/>
      <c r="Y917" s="1"/>
      <c r="Z917" s="1" t="s">
        <v>980</v>
      </c>
      <c r="AA917" s="1" t="s">
        <v>3969</v>
      </c>
      <c r="AB917" s="1" t="str">
        <f>"21498454000104"</f>
        <v>21498454000104</v>
      </c>
      <c r="AC917" s="1"/>
      <c r="AD917" s="1" t="s">
        <v>149</v>
      </c>
      <c r="AE917" s="1"/>
      <c r="AF917" s="1">
        <v>-46.78389</v>
      </c>
      <c r="AG917" s="1">
        <v>-23.640278</v>
      </c>
      <c r="AH917" s="1" t="s">
        <v>982</v>
      </c>
      <c r="AI917" s="1"/>
      <c r="AJ917" s="1" t="s">
        <v>172</v>
      </c>
      <c r="AK917" s="1"/>
      <c r="AL917" s="1"/>
      <c r="AM917" s="1" t="s">
        <v>65</v>
      </c>
      <c r="AN917" s="1" t="s">
        <v>983</v>
      </c>
      <c r="AO917" s="1"/>
      <c r="AP917" s="2">
        <v>44008.7444097222</v>
      </c>
      <c r="AQ917" s="1"/>
      <c r="AR917" s="1" t="s">
        <v>984</v>
      </c>
      <c r="AS917" s="1" t="s">
        <v>2383</v>
      </c>
      <c r="AT917" s="2">
        <v>44269.931099537</v>
      </c>
    </row>
    <row r="918" ht="13.5" customHeight="1">
      <c r="A918" s="1">
        <v>2034674.0</v>
      </c>
      <c r="B918" s="1" t="s">
        <v>67</v>
      </c>
      <c r="C918" s="1" t="s">
        <v>68</v>
      </c>
      <c r="D918" s="1" t="s">
        <v>46</v>
      </c>
      <c r="E918" s="1" t="s">
        <v>3970</v>
      </c>
      <c r="F918" s="1"/>
      <c r="G918" s="1" t="s">
        <v>70</v>
      </c>
      <c r="H918" s="1" t="s">
        <v>93</v>
      </c>
      <c r="I918" s="1">
        <v>584100.0</v>
      </c>
      <c r="J918" s="1"/>
      <c r="K918" s="1"/>
      <c r="L918" s="1" t="s">
        <v>264</v>
      </c>
      <c r="M918" s="1" t="s">
        <v>3971</v>
      </c>
      <c r="N918" s="1" t="s">
        <v>142</v>
      </c>
      <c r="O918" s="1" t="s">
        <v>143</v>
      </c>
      <c r="P918" s="2">
        <v>43798.4583333333</v>
      </c>
      <c r="Q918" s="1" t="s">
        <v>74</v>
      </c>
      <c r="R918" s="3">
        <v>43798.0</v>
      </c>
      <c r="S918" s="1"/>
      <c r="T918" s="1">
        <v>4215505.0</v>
      </c>
      <c r="U918" s="1" t="s">
        <v>3972</v>
      </c>
      <c r="V918" s="1" t="s">
        <v>267</v>
      </c>
      <c r="W918" s="1" t="s">
        <v>59</v>
      </c>
      <c r="X918" s="1"/>
      <c r="Y918" s="1" t="str">
        <f>"02026004048201942"</f>
        <v>02026004048201942</v>
      </c>
      <c r="Z918" s="1" t="s">
        <v>147</v>
      </c>
      <c r="AA918" s="1" t="s">
        <v>3973</v>
      </c>
      <c r="AB918" s="1" t="str">
        <f>"***846509**"</f>
        <v>***846509**</v>
      </c>
      <c r="AC918" s="1"/>
      <c r="AD918" s="1"/>
      <c r="AE918" s="1"/>
      <c r="AF918" s="1">
        <v>-50.371387</v>
      </c>
      <c r="AG918" s="1">
        <v>-26.99889</v>
      </c>
      <c r="AH918" s="1" t="s">
        <v>3974</v>
      </c>
      <c r="AI918" s="1"/>
      <c r="AJ918" s="1" t="s">
        <v>264</v>
      </c>
      <c r="AK918" s="1"/>
      <c r="AL918" s="1" t="s">
        <v>79</v>
      </c>
      <c r="AM918" s="1" t="s">
        <v>65</v>
      </c>
      <c r="AN918" s="1" t="s">
        <v>152</v>
      </c>
      <c r="AO918" s="2">
        <v>43889.0</v>
      </c>
      <c r="AP918" s="2">
        <v>43889.5257407407</v>
      </c>
      <c r="AQ918" s="1" t="s">
        <v>80</v>
      </c>
      <c r="AR918" s="1" t="s">
        <v>3975</v>
      </c>
      <c r="AS918" s="1"/>
      <c r="AT918" s="2">
        <v>44269.931099537</v>
      </c>
    </row>
    <row r="919" ht="13.5" customHeight="1">
      <c r="A919" s="1">
        <v>2036132.0</v>
      </c>
      <c r="B919" s="1" t="s">
        <v>67</v>
      </c>
      <c r="C919" s="1" t="s">
        <v>68</v>
      </c>
      <c r="D919" s="1" t="s">
        <v>46</v>
      </c>
      <c r="E919" s="1" t="s">
        <v>3976</v>
      </c>
      <c r="F919" s="1"/>
      <c r="G919" s="1" t="s">
        <v>70</v>
      </c>
      <c r="H919" s="1" t="s">
        <v>93</v>
      </c>
      <c r="I919" s="1">
        <v>500.0</v>
      </c>
      <c r="J919" s="1"/>
      <c r="K919" s="1"/>
      <c r="L919" s="1" t="s">
        <v>172</v>
      </c>
      <c r="M919" s="1" t="s">
        <v>3977</v>
      </c>
      <c r="N919" s="1" t="s">
        <v>53</v>
      </c>
      <c r="O919" s="1" t="s">
        <v>54</v>
      </c>
      <c r="P919" s="2">
        <v>43798.4583333333</v>
      </c>
      <c r="Q919" s="1" t="s">
        <v>373</v>
      </c>
      <c r="R919" s="3">
        <v>43798.0</v>
      </c>
      <c r="S919" s="1"/>
      <c r="T919" s="1">
        <v>2511905.0</v>
      </c>
      <c r="U919" s="1" t="s">
        <v>3889</v>
      </c>
      <c r="V919" s="1" t="s">
        <v>728</v>
      </c>
      <c r="W919" s="1" t="s">
        <v>288</v>
      </c>
      <c r="X919" s="1"/>
      <c r="Y919" s="1" t="str">
        <f>"02001010085202010"</f>
        <v>02001010085202010</v>
      </c>
      <c r="Z919" s="1" t="s">
        <v>60</v>
      </c>
      <c r="AA919" s="1" t="s">
        <v>3978</v>
      </c>
      <c r="AB919" s="1" t="str">
        <f>"***038033**"</f>
        <v>***038033**</v>
      </c>
      <c r="AC919" s="1"/>
      <c r="AD919" s="1"/>
      <c r="AE919" s="1"/>
      <c r="AF919" s="1">
        <v>-34.832222</v>
      </c>
      <c r="AG919" s="1">
        <v>-7.536944</v>
      </c>
      <c r="AH919" s="1" t="s">
        <v>3979</v>
      </c>
      <c r="AI919" s="1"/>
      <c r="AJ919" s="1" t="s">
        <v>172</v>
      </c>
      <c r="AK919" s="1"/>
      <c r="AL919" s="1" t="s">
        <v>79</v>
      </c>
      <c r="AM919" s="1" t="s">
        <v>65</v>
      </c>
      <c r="AN919" s="1" t="s">
        <v>2722</v>
      </c>
      <c r="AO919" s="2">
        <v>43936.0</v>
      </c>
      <c r="AP919" s="2">
        <v>43936.7221180556</v>
      </c>
      <c r="AQ919" s="1" t="s">
        <v>80</v>
      </c>
      <c r="AR919" s="1" t="s">
        <v>188</v>
      </c>
      <c r="AS919" s="1" t="s">
        <v>3980</v>
      </c>
      <c r="AT919" s="2">
        <v>44269.931099537</v>
      </c>
    </row>
    <row r="920" ht="13.5" customHeight="1">
      <c r="A920" s="1">
        <v>2039146.0</v>
      </c>
      <c r="B920" s="1" t="s">
        <v>67</v>
      </c>
      <c r="C920" s="1" t="s">
        <v>68</v>
      </c>
      <c r="D920" s="1" t="s">
        <v>46</v>
      </c>
      <c r="E920" s="1" t="s">
        <v>3981</v>
      </c>
      <c r="F920" s="1"/>
      <c r="G920" s="1" t="s">
        <v>70</v>
      </c>
      <c r="H920" s="1" t="s">
        <v>50</v>
      </c>
      <c r="I920" s="1">
        <v>3580.0</v>
      </c>
      <c r="J920" s="1"/>
      <c r="K920" s="1"/>
      <c r="L920" s="1" t="s">
        <v>64</v>
      </c>
      <c r="M920" s="1" t="s">
        <v>3982</v>
      </c>
      <c r="N920" s="1" t="s">
        <v>53</v>
      </c>
      <c r="O920" s="1" t="s">
        <v>54</v>
      </c>
      <c r="P920" s="2">
        <v>43798.4583333333</v>
      </c>
      <c r="Q920" s="1" t="s">
        <v>74</v>
      </c>
      <c r="R920" s="3">
        <v>43797.0</v>
      </c>
      <c r="S920" s="1"/>
      <c r="T920" s="1">
        <v>3550308.0</v>
      </c>
      <c r="U920" s="1" t="s">
        <v>607</v>
      </c>
      <c r="V920" s="1" t="s">
        <v>58</v>
      </c>
      <c r="W920" s="1" t="s">
        <v>59</v>
      </c>
      <c r="X920" s="1"/>
      <c r="Y920" s="1" t="str">
        <f>"02027005778202094"</f>
        <v>02027005778202094</v>
      </c>
      <c r="Z920" s="1" t="s">
        <v>60</v>
      </c>
      <c r="AA920" s="1" t="s">
        <v>3950</v>
      </c>
      <c r="AB920" s="1" t="str">
        <f t="shared" ref="AB920:AB921" si="41">"***925058**"</f>
        <v>***925058**</v>
      </c>
      <c r="AC920" s="1"/>
      <c r="AD920" s="1"/>
      <c r="AE920" s="1"/>
      <c r="AF920" s="1">
        <v>-46.738888</v>
      </c>
      <c r="AG920" s="1">
        <v>-23.5275</v>
      </c>
      <c r="AH920" s="1" t="s">
        <v>3951</v>
      </c>
      <c r="AI920" s="1"/>
      <c r="AJ920" s="1" t="s">
        <v>64</v>
      </c>
      <c r="AK920" s="1"/>
      <c r="AL920" s="1" t="s">
        <v>79</v>
      </c>
      <c r="AM920" s="1" t="s">
        <v>65</v>
      </c>
      <c r="AN920" s="1"/>
      <c r="AO920" s="2">
        <v>44055.0</v>
      </c>
      <c r="AP920" s="2">
        <v>44055.5958217593</v>
      </c>
      <c r="AQ920" s="1" t="s">
        <v>80</v>
      </c>
      <c r="AR920" s="1" t="s">
        <v>3983</v>
      </c>
      <c r="AS920" s="1"/>
      <c r="AT920" s="2">
        <v>44269.931099537</v>
      </c>
    </row>
    <row r="921" ht="13.5" customHeight="1">
      <c r="A921" s="1">
        <v>2039147.0</v>
      </c>
      <c r="B921" s="1" t="s">
        <v>67</v>
      </c>
      <c r="C921" s="1" t="s">
        <v>68</v>
      </c>
      <c r="D921" s="1" t="s">
        <v>46</v>
      </c>
      <c r="E921" s="1" t="s">
        <v>3984</v>
      </c>
      <c r="F921" s="1"/>
      <c r="G921" s="1" t="s">
        <v>70</v>
      </c>
      <c r="H921" s="1" t="s">
        <v>50</v>
      </c>
      <c r="I921" s="1">
        <v>3030.0</v>
      </c>
      <c r="J921" s="1"/>
      <c r="K921" s="1"/>
      <c r="L921" s="1" t="s">
        <v>64</v>
      </c>
      <c r="M921" s="1" t="s">
        <v>3985</v>
      </c>
      <c r="N921" s="1" t="s">
        <v>53</v>
      </c>
      <c r="O921" s="1" t="s">
        <v>54</v>
      </c>
      <c r="P921" s="2">
        <v>43798.4583333333</v>
      </c>
      <c r="Q921" s="1" t="s">
        <v>74</v>
      </c>
      <c r="R921" s="3">
        <v>43797.0</v>
      </c>
      <c r="S921" s="1"/>
      <c r="T921" s="1">
        <v>3550308.0</v>
      </c>
      <c r="U921" s="1" t="s">
        <v>607</v>
      </c>
      <c r="V921" s="1" t="s">
        <v>58</v>
      </c>
      <c r="W921" s="1" t="s">
        <v>59</v>
      </c>
      <c r="X921" s="1"/>
      <c r="Y921" s="1" t="str">
        <f>"02027005779202039"</f>
        <v>02027005779202039</v>
      </c>
      <c r="Z921" s="1" t="s">
        <v>60</v>
      </c>
      <c r="AA921" s="1" t="s">
        <v>3950</v>
      </c>
      <c r="AB921" s="1" t="str">
        <f t="shared" si="41"/>
        <v>***925058**</v>
      </c>
      <c r="AC921" s="1"/>
      <c r="AD921" s="1"/>
      <c r="AE921" s="1"/>
      <c r="AF921" s="1">
        <v>-46.738056</v>
      </c>
      <c r="AG921" s="1">
        <v>-23.528334</v>
      </c>
      <c r="AH921" s="1" t="s">
        <v>3951</v>
      </c>
      <c r="AI921" s="1"/>
      <c r="AJ921" s="1" t="s">
        <v>64</v>
      </c>
      <c r="AK921" s="1"/>
      <c r="AL921" s="1" t="s">
        <v>79</v>
      </c>
      <c r="AM921" s="1" t="s">
        <v>65</v>
      </c>
      <c r="AN921" s="1"/>
      <c r="AO921" s="2">
        <v>44055.0</v>
      </c>
      <c r="AP921" s="2">
        <v>44055.596099537</v>
      </c>
      <c r="AQ921" s="1" t="s">
        <v>80</v>
      </c>
      <c r="AR921" s="1" t="s">
        <v>3983</v>
      </c>
      <c r="AS921" s="1"/>
      <c r="AT921" s="2">
        <v>44269.931099537</v>
      </c>
    </row>
    <row r="922" ht="13.5" customHeight="1">
      <c r="A922" s="1">
        <v>2039402.0</v>
      </c>
      <c r="B922" s="1" t="s">
        <v>67</v>
      </c>
      <c r="C922" s="1" t="s">
        <v>68</v>
      </c>
      <c r="D922" s="1" t="s">
        <v>46</v>
      </c>
      <c r="E922" s="1" t="s">
        <v>3986</v>
      </c>
      <c r="F922" s="1"/>
      <c r="G922" s="1" t="s">
        <v>70</v>
      </c>
      <c r="H922" s="1" t="s">
        <v>50</v>
      </c>
      <c r="I922" s="1">
        <v>11495.0</v>
      </c>
      <c r="J922" s="1"/>
      <c r="K922" s="1"/>
      <c r="L922" s="1" t="s">
        <v>371</v>
      </c>
      <c r="M922" s="1" t="s">
        <v>3987</v>
      </c>
      <c r="N922" s="1" t="s">
        <v>283</v>
      </c>
      <c r="O922" s="1" t="s">
        <v>978</v>
      </c>
      <c r="P922" s="2">
        <v>43798.4583333333</v>
      </c>
      <c r="Q922" s="1" t="s">
        <v>373</v>
      </c>
      <c r="R922" s="3">
        <v>43798.0</v>
      </c>
      <c r="S922" s="1"/>
      <c r="T922" s="1">
        <v>5205471.0</v>
      </c>
      <c r="U922" s="1" t="s">
        <v>3988</v>
      </c>
      <c r="V922" s="1" t="s">
        <v>375</v>
      </c>
      <c r="W922" s="1" t="s">
        <v>127</v>
      </c>
      <c r="X922" s="1"/>
      <c r="Y922" s="1" t="str">
        <f>"02010003973201925"</f>
        <v>02010003973201925</v>
      </c>
      <c r="Z922" s="1" t="s">
        <v>980</v>
      </c>
      <c r="AA922" s="1" t="s">
        <v>3989</v>
      </c>
      <c r="AB922" s="1" t="str">
        <f>"***420451**"</f>
        <v>***420451**</v>
      </c>
      <c r="AC922" s="1"/>
      <c r="AD922" s="1"/>
      <c r="AE922" s="1"/>
      <c r="AF922" s="1">
        <v>-52.575275</v>
      </c>
      <c r="AG922" s="1">
        <v>-18.488611</v>
      </c>
      <c r="AH922" s="1" t="s">
        <v>3990</v>
      </c>
      <c r="AI922" s="1"/>
      <c r="AJ922" s="1" t="s">
        <v>371</v>
      </c>
      <c r="AK922" s="1"/>
      <c r="AL922" s="1" t="s">
        <v>79</v>
      </c>
      <c r="AM922" s="1" t="s">
        <v>65</v>
      </c>
      <c r="AN922" s="1" t="s">
        <v>1551</v>
      </c>
      <c r="AO922" s="2">
        <v>44061.0</v>
      </c>
      <c r="AP922" s="2">
        <v>44061.6639699074</v>
      </c>
      <c r="AQ922" s="1" t="s">
        <v>80</v>
      </c>
      <c r="AR922" s="1" t="s">
        <v>1576</v>
      </c>
      <c r="AS922" s="1" t="s">
        <v>3991</v>
      </c>
      <c r="AT922" s="2">
        <v>44269.931099537</v>
      </c>
    </row>
    <row r="923" ht="13.5" customHeight="1">
      <c r="A923" s="1">
        <v>2034505.0</v>
      </c>
      <c r="B923" s="1" t="s">
        <v>67</v>
      </c>
      <c r="C923" s="1" t="s">
        <v>68</v>
      </c>
      <c r="D923" s="1" t="s">
        <v>46</v>
      </c>
      <c r="E923" s="1" t="s">
        <v>3992</v>
      </c>
      <c r="F923" s="1"/>
      <c r="G923" s="1" t="s">
        <v>70</v>
      </c>
      <c r="H923" s="1" t="s">
        <v>93</v>
      </c>
      <c r="I923" s="1">
        <v>65500.0</v>
      </c>
      <c r="J923" s="1"/>
      <c r="K923" s="1"/>
      <c r="L923" s="1" t="s">
        <v>106</v>
      </c>
      <c r="M923" s="1" t="s">
        <v>3993</v>
      </c>
      <c r="N923" s="1" t="s">
        <v>95</v>
      </c>
      <c r="O923" s="1" t="s">
        <v>96</v>
      </c>
      <c r="P923" s="2">
        <v>43798.43125</v>
      </c>
      <c r="Q923" s="1" t="s">
        <v>74</v>
      </c>
      <c r="R923" s="1"/>
      <c r="S923" s="1"/>
      <c r="T923" s="1">
        <v>2303709.0</v>
      </c>
      <c r="U923" s="1" t="s">
        <v>3994</v>
      </c>
      <c r="V923" s="1" t="s">
        <v>112</v>
      </c>
      <c r="W923" s="1" t="s">
        <v>113</v>
      </c>
      <c r="X923" s="1"/>
      <c r="Y923" s="1" t="str">
        <f>"02007003945201967"</f>
        <v>02007003945201967</v>
      </c>
      <c r="Z923" s="1" t="s">
        <v>3814</v>
      </c>
      <c r="AA923" s="1" t="s">
        <v>3995</v>
      </c>
      <c r="AB923" s="1" t="str">
        <f>"***087953**"</f>
        <v>***087953**</v>
      </c>
      <c r="AC923" s="1"/>
      <c r="AD923" s="1" t="s">
        <v>116</v>
      </c>
      <c r="AE923" s="1"/>
      <c r="AF923" s="1">
        <v>0.0</v>
      </c>
      <c r="AG923" s="1">
        <v>0.0</v>
      </c>
      <c r="AH923" s="1" t="s">
        <v>3819</v>
      </c>
      <c r="AI923" s="1"/>
      <c r="AJ923" s="1"/>
      <c r="AK923" s="1"/>
      <c r="AL923" s="1" t="s">
        <v>118</v>
      </c>
      <c r="AM923" s="1"/>
      <c r="AN923" s="1"/>
      <c r="AO923" s="2">
        <v>43879.6926967593</v>
      </c>
      <c r="AP923" s="2">
        <v>43879.6926967593</v>
      </c>
      <c r="AQ923" s="1" t="s">
        <v>80</v>
      </c>
      <c r="AR923" s="1" t="s">
        <v>3805</v>
      </c>
      <c r="AS923" s="1"/>
      <c r="AT923" s="2">
        <v>44269.931099537</v>
      </c>
    </row>
    <row r="924" ht="13.5" customHeight="1">
      <c r="A924" s="1">
        <v>2034504.0</v>
      </c>
      <c r="B924" s="1" t="s">
        <v>67</v>
      </c>
      <c r="C924" s="1" t="s">
        <v>68</v>
      </c>
      <c r="D924" s="1" t="s">
        <v>46</v>
      </c>
      <c r="E924" s="1" t="s">
        <v>3996</v>
      </c>
      <c r="F924" s="1"/>
      <c r="G924" s="1" t="s">
        <v>70</v>
      </c>
      <c r="H924" s="1" t="s">
        <v>93</v>
      </c>
      <c r="I924" s="1">
        <v>65500.0</v>
      </c>
      <c r="J924" s="1"/>
      <c r="K924" s="1"/>
      <c r="L924" s="1" t="s">
        <v>106</v>
      </c>
      <c r="M924" s="1" t="s">
        <v>3801</v>
      </c>
      <c r="N924" s="1" t="s">
        <v>95</v>
      </c>
      <c r="O924" s="1" t="s">
        <v>96</v>
      </c>
      <c r="P924" s="2">
        <v>43798.4208333333</v>
      </c>
      <c r="Q924" s="1" t="s">
        <v>74</v>
      </c>
      <c r="R924" s="1"/>
      <c r="S924" s="1"/>
      <c r="T924" s="1">
        <v>2304400.0</v>
      </c>
      <c r="U924" s="1" t="s">
        <v>111</v>
      </c>
      <c r="V924" s="1" t="s">
        <v>112</v>
      </c>
      <c r="W924" s="1" t="s">
        <v>113</v>
      </c>
      <c r="X924" s="1"/>
      <c r="Y924" s="1" t="str">
        <f>"02007003888201916"</f>
        <v>02007003888201916</v>
      </c>
      <c r="Z924" s="1" t="s">
        <v>3814</v>
      </c>
      <c r="AA924" s="1" t="s">
        <v>3997</v>
      </c>
      <c r="AB924" s="1" t="str">
        <f>"***309794**"</f>
        <v>***309794**</v>
      </c>
      <c r="AC924" s="1"/>
      <c r="AD924" s="1" t="s">
        <v>116</v>
      </c>
      <c r="AE924" s="1"/>
      <c r="AF924" s="1">
        <v>0.0</v>
      </c>
      <c r="AG924" s="1">
        <v>0.0</v>
      </c>
      <c r="AH924" s="1" t="s">
        <v>3819</v>
      </c>
      <c r="AI924" s="1"/>
      <c r="AJ924" s="1"/>
      <c r="AK924" s="1"/>
      <c r="AL924" s="1" t="s">
        <v>118</v>
      </c>
      <c r="AM924" s="1"/>
      <c r="AN924" s="1"/>
      <c r="AO924" s="2">
        <v>43879.6709722222</v>
      </c>
      <c r="AP924" s="2">
        <v>43879.6709837963</v>
      </c>
      <c r="AQ924" s="1" t="s">
        <v>80</v>
      </c>
      <c r="AR924" s="1" t="s">
        <v>3805</v>
      </c>
      <c r="AS924" s="1"/>
      <c r="AT924" s="2">
        <v>44269.931099537</v>
      </c>
    </row>
    <row r="925" ht="13.5" customHeight="1">
      <c r="A925" s="1">
        <v>2035774.0</v>
      </c>
      <c r="B925" s="1" t="s">
        <v>67</v>
      </c>
      <c r="C925" s="1" t="s">
        <v>68</v>
      </c>
      <c r="D925" s="1" t="s">
        <v>46</v>
      </c>
      <c r="E925" s="1" t="s">
        <v>3998</v>
      </c>
      <c r="F925" s="1"/>
      <c r="G925" s="1" t="s">
        <v>70</v>
      </c>
      <c r="H925" s="1" t="s">
        <v>50</v>
      </c>
      <c r="I925" s="1">
        <v>65500.0</v>
      </c>
      <c r="J925" s="1"/>
      <c r="K925" s="1"/>
      <c r="L925" s="1" t="s">
        <v>106</v>
      </c>
      <c r="M925" s="1" t="s">
        <v>3801</v>
      </c>
      <c r="N925" s="1" t="s">
        <v>95</v>
      </c>
      <c r="O925" s="1" t="s">
        <v>96</v>
      </c>
      <c r="P925" s="2">
        <v>43798.4166666667</v>
      </c>
      <c r="Q925" s="1" t="s">
        <v>74</v>
      </c>
      <c r="R925" s="3">
        <v>43798.0</v>
      </c>
      <c r="S925" s="1"/>
      <c r="T925" s="1">
        <v>2304400.0</v>
      </c>
      <c r="U925" s="1" t="s">
        <v>111</v>
      </c>
      <c r="V925" s="1" t="s">
        <v>112</v>
      </c>
      <c r="W925" s="1" t="s">
        <v>113</v>
      </c>
      <c r="X925" s="1"/>
      <c r="Y925" s="1" t="str">
        <f>"02007003946201910"</f>
        <v>02007003946201910</v>
      </c>
      <c r="Z925" s="1" t="s">
        <v>98</v>
      </c>
      <c r="AA925" s="1" t="s">
        <v>3999</v>
      </c>
      <c r="AB925" s="1" t="str">
        <f>"***611753**"</f>
        <v>***611753**</v>
      </c>
      <c r="AC925" s="1"/>
      <c r="AD925" s="1" t="s">
        <v>116</v>
      </c>
      <c r="AE925" s="1"/>
      <c r="AF925" s="1">
        <v>-38.623611</v>
      </c>
      <c r="AG925" s="1">
        <v>-3.780833</v>
      </c>
      <c r="AH925" s="1" t="s">
        <v>3803</v>
      </c>
      <c r="AI925" s="1"/>
      <c r="AJ925" s="1" t="s">
        <v>106</v>
      </c>
      <c r="AK925" s="1" t="s">
        <v>4000</v>
      </c>
      <c r="AL925" s="1" t="s">
        <v>79</v>
      </c>
      <c r="AM925" s="1" t="s">
        <v>65</v>
      </c>
      <c r="AN925" s="1" t="s">
        <v>3804</v>
      </c>
      <c r="AO925" s="2">
        <v>43917.0</v>
      </c>
      <c r="AP925" s="2">
        <v>44072.5390393519</v>
      </c>
      <c r="AQ925" s="1" t="s">
        <v>80</v>
      </c>
      <c r="AR925" s="1" t="s">
        <v>3822</v>
      </c>
      <c r="AS925" s="1"/>
      <c r="AT925" s="2">
        <v>44269.931099537</v>
      </c>
    </row>
    <row r="926" ht="13.5" customHeight="1">
      <c r="A926" s="1">
        <v>2044125.0</v>
      </c>
      <c r="B926" s="1" t="s">
        <v>67</v>
      </c>
      <c r="C926" s="1" t="s">
        <v>68</v>
      </c>
      <c r="D926" s="1" t="s">
        <v>46</v>
      </c>
      <c r="E926" s="1" t="s">
        <v>4001</v>
      </c>
      <c r="F926" s="1"/>
      <c r="G926" s="1" t="s">
        <v>70</v>
      </c>
      <c r="H926" s="1" t="s">
        <v>93</v>
      </c>
      <c r="I926" s="1">
        <v>5800.0</v>
      </c>
      <c r="J926" s="1"/>
      <c r="K926" s="1"/>
      <c r="L926" s="1" t="s">
        <v>172</v>
      </c>
      <c r="M926" s="1" t="s">
        <v>4002</v>
      </c>
      <c r="N926" s="1" t="s">
        <v>53</v>
      </c>
      <c r="O926" s="1" t="s">
        <v>54</v>
      </c>
      <c r="P926" s="2">
        <v>43798.4166666667</v>
      </c>
      <c r="Q926" s="1" t="s">
        <v>373</v>
      </c>
      <c r="R926" s="3">
        <v>43798.0</v>
      </c>
      <c r="S926" s="1"/>
      <c r="T926" s="1">
        <v>2511905.0</v>
      </c>
      <c r="U926" s="1" t="s">
        <v>3889</v>
      </c>
      <c r="V926" s="1" t="s">
        <v>728</v>
      </c>
      <c r="W926" s="1" t="s">
        <v>288</v>
      </c>
      <c r="X926" s="1"/>
      <c r="Y926" s="1" t="str">
        <f>"02001004709202132"</f>
        <v>02001004709202132</v>
      </c>
      <c r="Z926" s="1" t="s">
        <v>60</v>
      </c>
      <c r="AA926" s="1" t="s">
        <v>3978</v>
      </c>
      <c r="AB926" s="1" t="str">
        <f>"***038033**"</f>
        <v>***038033**</v>
      </c>
      <c r="AC926" s="1"/>
      <c r="AD926" s="1"/>
      <c r="AE926" s="1"/>
      <c r="AF926" s="1">
        <v>-34.832222</v>
      </c>
      <c r="AG926" s="1">
        <v>-7.536944</v>
      </c>
      <c r="AH926" s="1" t="s">
        <v>4003</v>
      </c>
      <c r="AI926" s="1"/>
      <c r="AJ926" s="1" t="s">
        <v>172</v>
      </c>
      <c r="AK926" s="1"/>
      <c r="AL926" s="1" t="s">
        <v>79</v>
      </c>
      <c r="AM926" s="1" t="s">
        <v>65</v>
      </c>
      <c r="AN926" s="1" t="s">
        <v>2722</v>
      </c>
      <c r="AO926" s="2">
        <v>44263.0</v>
      </c>
      <c r="AP926" s="2">
        <v>44263.6562962963</v>
      </c>
      <c r="AQ926" s="1" t="s">
        <v>80</v>
      </c>
      <c r="AR926" s="1" t="s">
        <v>3642</v>
      </c>
      <c r="AS926" s="1" t="s">
        <v>4004</v>
      </c>
      <c r="AT926" s="2">
        <v>44269.931099537</v>
      </c>
    </row>
    <row r="927" ht="13.5" customHeight="1">
      <c r="A927" s="1"/>
      <c r="B927" s="1" t="s">
        <v>46</v>
      </c>
      <c r="C927" s="1" t="s">
        <v>47</v>
      </c>
      <c r="D927" s="1"/>
      <c r="E927" s="1" t="s">
        <v>4005</v>
      </c>
      <c r="F927" s="1"/>
      <c r="G927" s="1" t="s">
        <v>49</v>
      </c>
      <c r="H927" s="1" t="s">
        <v>50</v>
      </c>
      <c r="I927" s="1">
        <v>85000.0</v>
      </c>
      <c r="J927" s="1"/>
      <c r="K927" s="1" t="s">
        <v>51</v>
      </c>
      <c r="L927" s="1"/>
      <c r="M927" s="1" t="s">
        <v>976</v>
      </c>
      <c r="N927" s="1" t="s">
        <v>977</v>
      </c>
      <c r="O927" s="1" t="s">
        <v>978</v>
      </c>
      <c r="P927" s="2">
        <v>43798.4051736111</v>
      </c>
      <c r="Q927" s="1" t="s">
        <v>74</v>
      </c>
      <c r="R927" s="1"/>
      <c r="S927" s="1"/>
      <c r="T927" s="1">
        <v>4314902.0</v>
      </c>
      <c r="U927" s="1" t="s">
        <v>2671</v>
      </c>
      <c r="V927" s="1" t="s">
        <v>145</v>
      </c>
      <c r="W927" s="1" t="s">
        <v>146</v>
      </c>
      <c r="X927" s="1"/>
      <c r="Y927" s="1"/>
      <c r="Z927" s="1" t="s">
        <v>980</v>
      </c>
      <c r="AA927" s="1" t="s">
        <v>4006</v>
      </c>
      <c r="AB927" s="1" t="str">
        <f>"90050097000130"</f>
        <v>90050097000130</v>
      </c>
      <c r="AC927" s="1"/>
      <c r="AD927" s="1" t="s">
        <v>149</v>
      </c>
      <c r="AE927" s="1"/>
      <c r="AF927" s="1">
        <v>-51.1875</v>
      </c>
      <c r="AG927" s="1">
        <v>-30.113611</v>
      </c>
      <c r="AH927" s="1" t="s">
        <v>982</v>
      </c>
      <c r="AI927" s="1"/>
      <c r="AJ927" s="1" t="s">
        <v>172</v>
      </c>
      <c r="AK927" s="1"/>
      <c r="AL927" s="1"/>
      <c r="AM927" s="1" t="s">
        <v>65</v>
      </c>
      <c r="AN927" s="1" t="s">
        <v>983</v>
      </c>
      <c r="AO927" s="1"/>
      <c r="AP927" s="2">
        <v>44008.7445717593</v>
      </c>
      <c r="AQ927" s="1"/>
      <c r="AR927" s="1" t="s">
        <v>984</v>
      </c>
      <c r="AS927" s="1" t="s">
        <v>2383</v>
      </c>
      <c r="AT927" s="2">
        <v>44269.931099537</v>
      </c>
    </row>
    <row r="928" ht="13.5" customHeight="1">
      <c r="A928" s="1">
        <v>2034459.0</v>
      </c>
      <c r="B928" s="1" t="s">
        <v>67</v>
      </c>
      <c r="C928" s="1" t="s">
        <v>68</v>
      </c>
      <c r="D928" s="1" t="s">
        <v>46</v>
      </c>
      <c r="E928" s="1" t="s">
        <v>4007</v>
      </c>
      <c r="F928" s="1"/>
      <c r="G928" s="1" t="s">
        <v>70</v>
      </c>
      <c r="H928" s="1" t="s">
        <v>93</v>
      </c>
      <c r="I928" s="1">
        <v>65500.0</v>
      </c>
      <c r="J928" s="1"/>
      <c r="K928" s="1"/>
      <c r="L928" s="1" t="s">
        <v>106</v>
      </c>
      <c r="M928" s="1" t="s">
        <v>3801</v>
      </c>
      <c r="N928" s="1" t="s">
        <v>95</v>
      </c>
      <c r="O928" s="1" t="s">
        <v>96</v>
      </c>
      <c r="P928" s="2">
        <v>43798.4034722222</v>
      </c>
      <c r="Q928" s="1" t="s">
        <v>74</v>
      </c>
      <c r="R928" s="1"/>
      <c r="S928" s="1"/>
      <c r="T928" s="1">
        <v>2304400.0</v>
      </c>
      <c r="U928" s="1" t="s">
        <v>111</v>
      </c>
      <c r="V928" s="1" t="s">
        <v>112</v>
      </c>
      <c r="W928" s="1" t="s">
        <v>113</v>
      </c>
      <c r="X928" s="1"/>
      <c r="Y928" s="1" t="str">
        <f>"02007003947201956"</f>
        <v>02007003947201956</v>
      </c>
      <c r="Z928" s="1" t="s">
        <v>1267</v>
      </c>
      <c r="AA928" s="1" t="s">
        <v>4008</v>
      </c>
      <c r="AB928" s="1" t="str">
        <f>"***370923**"</f>
        <v>***370923**</v>
      </c>
      <c r="AC928" s="1"/>
      <c r="AD928" s="1" t="s">
        <v>116</v>
      </c>
      <c r="AE928" s="1"/>
      <c r="AF928" s="1">
        <v>0.0</v>
      </c>
      <c r="AG928" s="1">
        <v>0.0</v>
      </c>
      <c r="AH928" s="1" t="s">
        <v>3819</v>
      </c>
      <c r="AI928" s="1"/>
      <c r="AJ928" s="1"/>
      <c r="AK928" s="1"/>
      <c r="AL928" s="1" t="s">
        <v>118</v>
      </c>
      <c r="AM928" s="1"/>
      <c r="AN928" s="1"/>
      <c r="AO928" s="2">
        <v>43871.769837963</v>
      </c>
      <c r="AP928" s="2">
        <v>43871.769837963</v>
      </c>
      <c r="AQ928" s="1" t="s">
        <v>80</v>
      </c>
      <c r="AR928" s="1" t="s">
        <v>3805</v>
      </c>
      <c r="AS928" s="1"/>
      <c r="AT928" s="2">
        <v>44269.931099537</v>
      </c>
    </row>
    <row r="929" ht="13.5" customHeight="1">
      <c r="A929" s="1"/>
      <c r="B929" s="1" t="s">
        <v>46</v>
      </c>
      <c r="C929" s="1" t="s">
        <v>47</v>
      </c>
      <c r="D929" s="1"/>
      <c r="E929" s="1" t="s">
        <v>4009</v>
      </c>
      <c r="F929" s="1"/>
      <c r="G929" s="1" t="s">
        <v>49</v>
      </c>
      <c r="H929" s="1" t="s">
        <v>50</v>
      </c>
      <c r="I929" s="1">
        <v>805000.0</v>
      </c>
      <c r="J929" s="1"/>
      <c r="K929" s="1" t="s">
        <v>51</v>
      </c>
      <c r="L929" s="1"/>
      <c r="M929" s="1" t="s">
        <v>976</v>
      </c>
      <c r="N929" s="1" t="s">
        <v>977</v>
      </c>
      <c r="O929" s="1" t="s">
        <v>978</v>
      </c>
      <c r="P929" s="2">
        <v>43798.3921412037</v>
      </c>
      <c r="Q929" s="1" t="s">
        <v>74</v>
      </c>
      <c r="R929" s="1"/>
      <c r="S929" s="1"/>
      <c r="T929" s="1">
        <v>3509205.0</v>
      </c>
      <c r="U929" s="1" t="s">
        <v>2443</v>
      </c>
      <c r="V929" s="1" t="s">
        <v>58</v>
      </c>
      <c r="W929" s="1" t="s">
        <v>59</v>
      </c>
      <c r="X929" s="1"/>
      <c r="Y929" s="1"/>
      <c r="Z929" s="1" t="s">
        <v>980</v>
      </c>
      <c r="AA929" s="1" t="s">
        <v>2444</v>
      </c>
      <c r="AB929" s="1" t="str">
        <f>"02135974000108"</f>
        <v>02135974000108</v>
      </c>
      <c r="AC929" s="1"/>
      <c r="AD929" s="1" t="s">
        <v>149</v>
      </c>
      <c r="AE929" s="1"/>
      <c r="AF929" s="1">
        <v>-46.953609</v>
      </c>
      <c r="AG929" s="1">
        <v>-23.393612</v>
      </c>
      <c r="AH929" s="1" t="s">
        <v>982</v>
      </c>
      <c r="AI929" s="1"/>
      <c r="AJ929" s="1" t="s">
        <v>172</v>
      </c>
      <c r="AK929" s="1"/>
      <c r="AL929" s="1"/>
      <c r="AM929" s="1" t="s">
        <v>65</v>
      </c>
      <c r="AN929" s="1" t="s">
        <v>983</v>
      </c>
      <c r="AO929" s="1"/>
      <c r="AP929" s="2">
        <v>44008.7447337963</v>
      </c>
      <c r="AQ929" s="1"/>
      <c r="AR929" s="1" t="s">
        <v>984</v>
      </c>
      <c r="AS929" s="1" t="s">
        <v>2383</v>
      </c>
      <c r="AT929" s="2">
        <v>44269.931099537</v>
      </c>
    </row>
    <row r="930" ht="13.5" customHeight="1">
      <c r="A930" s="1"/>
      <c r="B930" s="1" t="s">
        <v>46</v>
      </c>
      <c r="C930" s="1" t="s">
        <v>47</v>
      </c>
      <c r="D930" s="1"/>
      <c r="E930" s="1" t="s">
        <v>4010</v>
      </c>
      <c r="F930" s="1"/>
      <c r="G930" s="1" t="s">
        <v>49</v>
      </c>
      <c r="H930" s="1" t="s">
        <v>50</v>
      </c>
      <c r="I930" s="1">
        <v>85000.0</v>
      </c>
      <c r="J930" s="1"/>
      <c r="K930" s="1" t="s">
        <v>51</v>
      </c>
      <c r="L930" s="1"/>
      <c r="M930" s="1"/>
      <c r="N930" s="1" t="s">
        <v>977</v>
      </c>
      <c r="O930" s="1" t="s">
        <v>978</v>
      </c>
      <c r="P930" s="2">
        <v>43798.3635763889</v>
      </c>
      <c r="Q930" s="1" t="s">
        <v>74</v>
      </c>
      <c r="R930" s="1"/>
      <c r="S930" s="1"/>
      <c r="T930" s="1">
        <v>4314902.0</v>
      </c>
      <c r="U930" s="1" t="s">
        <v>2671</v>
      </c>
      <c r="V930" s="1" t="s">
        <v>145</v>
      </c>
      <c r="W930" s="1" t="s">
        <v>146</v>
      </c>
      <c r="X930" s="1"/>
      <c r="Y930" s="1"/>
      <c r="Z930" s="1" t="s">
        <v>980</v>
      </c>
      <c r="AA930" s="1" t="s">
        <v>4006</v>
      </c>
      <c r="AB930" s="1" t="str">
        <f>"90050097000130"</f>
        <v>90050097000130</v>
      </c>
      <c r="AC930" s="1"/>
      <c r="AD930" s="1" t="s">
        <v>149</v>
      </c>
      <c r="AE930" s="1"/>
      <c r="AF930" s="1">
        <v>-51.1875</v>
      </c>
      <c r="AG930" s="1">
        <v>-30.121944</v>
      </c>
      <c r="AH930" s="1" t="s">
        <v>982</v>
      </c>
      <c r="AI930" s="1"/>
      <c r="AJ930" s="1" t="s">
        <v>172</v>
      </c>
      <c r="AK930" s="1"/>
      <c r="AL930" s="1"/>
      <c r="AM930" s="1" t="s">
        <v>65</v>
      </c>
      <c r="AN930" s="1" t="s">
        <v>983</v>
      </c>
      <c r="AO930" s="1"/>
      <c r="AP930" s="2">
        <v>44008.7448842593</v>
      </c>
      <c r="AQ930" s="1"/>
      <c r="AR930" s="1" t="s">
        <v>984</v>
      </c>
      <c r="AS930" s="1" t="s">
        <v>2383</v>
      </c>
      <c r="AT930" s="2">
        <v>44269.931099537</v>
      </c>
    </row>
    <row r="931" ht="13.5" customHeight="1">
      <c r="A931" s="1">
        <v>2036131.0</v>
      </c>
      <c r="B931" s="1" t="s">
        <v>67</v>
      </c>
      <c r="C931" s="1" t="s">
        <v>68</v>
      </c>
      <c r="D931" s="1" t="s">
        <v>46</v>
      </c>
      <c r="E931" s="1" t="s">
        <v>4011</v>
      </c>
      <c r="F931" s="1"/>
      <c r="G931" s="1" t="s">
        <v>70</v>
      </c>
      <c r="H931" s="1" t="s">
        <v>93</v>
      </c>
      <c r="I931" s="1">
        <v>5800.0</v>
      </c>
      <c r="J931" s="1"/>
      <c r="K931" s="1"/>
      <c r="L931" s="1" t="s">
        <v>172</v>
      </c>
      <c r="M931" s="1" t="s">
        <v>4012</v>
      </c>
      <c r="N931" s="1" t="s">
        <v>53</v>
      </c>
      <c r="O931" s="1" t="s">
        <v>54</v>
      </c>
      <c r="P931" s="2">
        <v>43798.2916666667</v>
      </c>
      <c r="Q931" s="1" t="s">
        <v>373</v>
      </c>
      <c r="R931" s="3">
        <v>43798.0</v>
      </c>
      <c r="S931" s="1"/>
      <c r="T931" s="1">
        <v>2511905.0</v>
      </c>
      <c r="U931" s="1" t="s">
        <v>3889</v>
      </c>
      <c r="V931" s="1" t="s">
        <v>728</v>
      </c>
      <c r="W931" s="1" t="s">
        <v>288</v>
      </c>
      <c r="X931" s="1"/>
      <c r="Y931" s="1" t="str">
        <f>"02001010084202067"</f>
        <v>02001010084202067</v>
      </c>
      <c r="Z931" s="1" t="s">
        <v>60</v>
      </c>
      <c r="AA931" s="1" t="s">
        <v>3978</v>
      </c>
      <c r="AB931" s="1" t="str">
        <f>"***038033**"</f>
        <v>***038033**</v>
      </c>
      <c r="AC931" s="1"/>
      <c r="AD931" s="1"/>
      <c r="AE931" s="1"/>
      <c r="AF931" s="1">
        <v>-34.832222</v>
      </c>
      <c r="AG931" s="1">
        <v>-7.536944</v>
      </c>
      <c r="AH931" s="1" t="s">
        <v>4013</v>
      </c>
      <c r="AI931" s="1"/>
      <c r="AJ931" s="1" t="s">
        <v>172</v>
      </c>
      <c r="AK931" s="1"/>
      <c r="AL931" s="1" t="s">
        <v>79</v>
      </c>
      <c r="AM931" s="1" t="s">
        <v>65</v>
      </c>
      <c r="AN931" s="1" t="s">
        <v>2722</v>
      </c>
      <c r="AO931" s="2">
        <v>43936.0</v>
      </c>
      <c r="AP931" s="2">
        <v>43936.7209837963</v>
      </c>
      <c r="AQ931" s="1" t="s">
        <v>80</v>
      </c>
      <c r="AR931" s="1" t="s">
        <v>3642</v>
      </c>
      <c r="AS931" s="1" t="s">
        <v>4014</v>
      </c>
      <c r="AT931" s="2">
        <v>44269.931099537</v>
      </c>
    </row>
    <row r="932" ht="13.5" customHeight="1">
      <c r="A932" s="1"/>
      <c r="B932" s="1" t="s">
        <v>46</v>
      </c>
      <c r="C932" s="1" t="s">
        <v>47</v>
      </c>
      <c r="D932" s="1"/>
      <c r="E932" s="1" t="s">
        <v>4015</v>
      </c>
      <c r="F932" s="1"/>
      <c r="G932" s="1" t="s">
        <v>49</v>
      </c>
      <c r="H932" s="1" t="s">
        <v>93</v>
      </c>
      <c r="I932" s="1">
        <v>7800.0</v>
      </c>
      <c r="J932" s="1"/>
      <c r="K932" s="1" t="s">
        <v>51</v>
      </c>
      <c r="L932" s="1"/>
      <c r="M932" s="1" t="s">
        <v>4016</v>
      </c>
      <c r="N932" s="1" t="s">
        <v>53</v>
      </c>
      <c r="O932" s="1" t="s">
        <v>54</v>
      </c>
      <c r="P932" s="2">
        <v>43798.244212963</v>
      </c>
      <c r="Q932" s="1" t="s">
        <v>74</v>
      </c>
      <c r="R932" s="1"/>
      <c r="S932" s="1"/>
      <c r="T932" s="1">
        <v>1503101.0</v>
      </c>
      <c r="U932" s="1" t="s">
        <v>3858</v>
      </c>
      <c r="V932" s="1" t="s">
        <v>193</v>
      </c>
      <c r="W932" s="1" t="s">
        <v>288</v>
      </c>
      <c r="X932" s="1"/>
      <c r="Y932" s="1"/>
      <c r="Z932" s="1" t="s">
        <v>60</v>
      </c>
      <c r="AA932" s="1" t="s">
        <v>4017</v>
      </c>
      <c r="AB932" s="1" t="str">
        <f>"***683222**"</f>
        <v>***683222**</v>
      </c>
      <c r="AC932" s="1"/>
      <c r="AD932" s="1" t="s">
        <v>62</v>
      </c>
      <c r="AE932" s="1"/>
      <c r="AF932" s="1">
        <v>-51.650558</v>
      </c>
      <c r="AG932" s="1">
        <v>-1.408056</v>
      </c>
      <c r="AH932" s="1" t="s">
        <v>3874</v>
      </c>
      <c r="AI932" s="1"/>
      <c r="AJ932" s="1" t="s">
        <v>800</v>
      </c>
      <c r="AK932" s="1"/>
      <c r="AL932" s="1"/>
      <c r="AM932" s="1" t="s">
        <v>65</v>
      </c>
      <c r="AN932" s="1" t="s">
        <v>152</v>
      </c>
      <c r="AO932" s="1"/>
      <c r="AP932" s="2">
        <v>43798.2691550926</v>
      </c>
      <c r="AQ932" s="1"/>
      <c r="AR932" s="1" t="s">
        <v>4018</v>
      </c>
      <c r="AS932" s="1"/>
      <c r="AT932" s="2">
        <v>44269.931099537</v>
      </c>
    </row>
    <row r="933" ht="13.5" customHeight="1">
      <c r="A933" s="1"/>
      <c r="B933" s="1" t="s">
        <v>46</v>
      </c>
      <c r="C933" s="1" t="s">
        <v>47</v>
      </c>
      <c r="D933" s="1"/>
      <c r="E933" s="1" t="s">
        <v>4019</v>
      </c>
      <c r="F933" s="1"/>
      <c r="G933" s="1" t="s">
        <v>49</v>
      </c>
      <c r="H933" s="1" t="s">
        <v>50</v>
      </c>
      <c r="I933" s="1">
        <v>15000.0</v>
      </c>
      <c r="J933" s="1"/>
      <c r="K933" s="1" t="s">
        <v>51</v>
      </c>
      <c r="L933" s="1"/>
      <c r="M933" s="1" t="s">
        <v>3786</v>
      </c>
      <c r="N933" s="1" t="s">
        <v>977</v>
      </c>
      <c r="O933" s="1" t="s">
        <v>978</v>
      </c>
      <c r="P933" s="2">
        <v>43797.8790856481</v>
      </c>
      <c r="Q933" s="1" t="s">
        <v>74</v>
      </c>
      <c r="R933" s="1"/>
      <c r="S933" s="1"/>
      <c r="T933" s="1">
        <v>4207502.0</v>
      </c>
      <c r="U933" s="1" t="s">
        <v>2421</v>
      </c>
      <c r="V933" s="1" t="s">
        <v>267</v>
      </c>
      <c r="W933" s="1" t="s">
        <v>59</v>
      </c>
      <c r="X933" s="1"/>
      <c r="Y933" s="1"/>
      <c r="Z933" s="1" t="s">
        <v>980</v>
      </c>
      <c r="AA933" s="1" t="s">
        <v>4020</v>
      </c>
      <c r="AB933" s="1" t="str">
        <f>"15988752000180"</f>
        <v>15988752000180</v>
      </c>
      <c r="AC933" s="1"/>
      <c r="AD933" s="1" t="s">
        <v>149</v>
      </c>
      <c r="AE933" s="1"/>
      <c r="AF933" s="1">
        <v>-49.231667</v>
      </c>
      <c r="AG933" s="1">
        <v>-26.897499</v>
      </c>
      <c r="AH933" s="1" t="s">
        <v>4021</v>
      </c>
      <c r="AI933" s="1"/>
      <c r="AJ933" s="1" t="s">
        <v>172</v>
      </c>
      <c r="AK933" s="1"/>
      <c r="AL933" s="1"/>
      <c r="AM933" s="1" t="s">
        <v>65</v>
      </c>
      <c r="AN933" s="1" t="s">
        <v>983</v>
      </c>
      <c r="AO933" s="1"/>
      <c r="AP933" s="2">
        <v>44014.8126967593</v>
      </c>
      <c r="AQ933" s="1"/>
      <c r="AR933" s="1" t="s">
        <v>229</v>
      </c>
      <c r="AS933" s="1" t="s">
        <v>2695</v>
      </c>
      <c r="AT933" s="2">
        <v>44269.931099537</v>
      </c>
    </row>
    <row r="934" ht="13.5" customHeight="1">
      <c r="A934" s="1">
        <v>2039076.0</v>
      </c>
      <c r="B934" s="1" t="s">
        <v>67</v>
      </c>
      <c r="C934" s="1" t="s">
        <v>68</v>
      </c>
      <c r="D934" s="1" t="s">
        <v>46</v>
      </c>
      <c r="E934" s="1" t="s">
        <v>4022</v>
      </c>
      <c r="F934" s="1"/>
      <c r="G934" s="1" t="s">
        <v>70</v>
      </c>
      <c r="H934" s="1" t="s">
        <v>50</v>
      </c>
      <c r="I934" s="1">
        <v>85000.0</v>
      </c>
      <c r="J934" s="1"/>
      <c r="K934" s="1"/>
      <c r="L934" s="1" t="s">
        <v>65</v>
      </c>
      <c r="M934" s="1" t="s">
        <v>3786</v>
      </c>
      <c r="N934" s="1" t="s">
        <v>283</v>
      </c>
      <c r="O934" s="1" t="s">
        <v>978</v>
      </c>
      <c r="P934" s="2">
        <v>43797.8333333333</v>
      </c>
      <c r="Q934" s="1" t="s">
        <v>74</v>
      </c>
      <c r="R934" s="3">
        <v>43864.0</v>
      </c>
      <c r="S934" s="1"/>
      <c r="T934" s="1">
        <v>2607901.0</v>
      </c>
      <c r="U934" s="1" t="s">
        <v>2410</v>
      </c>
      <c r="V934" s="1" t="s">
        <v>1037</v>
      </c>
      <c r="W934" s="1" t="s">
        <v>59</v>
      </c>
      <c r="X934" s="1"/>
      <c r="Y934" s="1" t="str">
        <f>"02019000131202156"</f>
        <v>02019000131202156</v>
      </c>
      <c r="Z934" s="1" t="s">
        <v>980</v>
      </c>
      <c r="AA934" s="1" t="s">
        <v>2411</v>
      </c>
      <c r="AB934" s="1" t="str">
        <f>"17243269000100"</f>
        <v>17243269000100</v>
      </c>
      <c r="AC934" s="1"/>
      <c r="AD934" s="1" t="s">
        <v>116</v>
      </c>
      <c r="AE934" s="1"/>
      <c r="AF934" s="1">
        <v>-35.015278</v>
      </c>
      <c r="AG934" s="1">
        <v>-8.111944</v>
      </c>
      <c r="AH934" s="1" t="s">
        <v>4023</v>
      </c>
      <c r="AI934" s="1"/>
      <c r="AJ934" s="1" t="s">
        <v>172</v>
      </c>
      <c r="AK934" s="1" t="s">
        <v>3809</v>
      </c>
      <c r="AL934" s="1" t="s">
        <v>79</v>
      </c>
      <c r="AM934" s="1" t="s">
        <v>65</v>
      </c>
      <c r="AN934" s="1" t="s">
        <v>983</v>
      </c>
      <c r="AO934" s="2">
        <v>44054.0</v>
      </c>
      <c r="AP934" s="2">
        <v>44223.6899305556</v>
      </c>
      <c r="AQ934" s="1" t="s">
        <v>80</v>
      </c>
      <c r="AR934" s="1" t="s">
        <v>4024</v>
      </c>
      <c r="AS934" s="1" t="s">
        <v>3051</v>
      </c>
      <c r="AT934" s="2">
        <v>44269.931099537</v>
      </c>
    </row>
    <row r="935" ht="13.5" customHeight="1">
      <c r="A935" s="1"/>
      <c r="B935" s="1" t="s">
        <v>46</v>
      </c>
      <c r="C935" s="1" t="s">
        <v>47</v>
      </c>
      <c r="D935" s="1"/>
      <c r="E935" s="1" t="s">
        <v>4025</v>
      </c>
      <c r="F935" s="1"/>
      <c r="G935" s="1" t="s">
        <v>49</v>
      </c>
      <c r="H935" s="1" t="s">
        <v>50</v>
      </c>
      <c r="I935" s="1">
        <v>405000.0</v>
      </c>
      <c r="J935" s="1"/>
      <c r="K935" s="1" t="s">
        <v>51</v>
      </c>
      <c r="L935" s="1"/>
      <c r="M935" s="1" t="s">
        <v>3786</v>
      </c>
      <c r="N935" s="1" t="s">
        <v>977</v>
      </c>
      <c r="O935" s="1" t="s">
        <v>978</v>
      </c>
      <c r="P935" s="2">
        <v>43797.8146296296</v>
      </c>
      <c r="Q935" s="1" t="s">
        <v>74</v>
      </c>
      <c r="R935" s="1"/>
      <c r="S935" s="1"/>
      <c r="T935" s="1">
        <v>3304557.0</v>
      </c>
      <c r="U935" s="1" t="s">
        <v>286</v>
      </c>
      <c r="V935" s="1" t="s">
        <v>287</v>
      </c>
      <c r="W935" s="1" t="s">
        <v>59</v>
      </c>
      <c r="X935" s="1"/>
      <c r="Y935" s="1"/>
      <c r="Z935" s="1" t="s">
        <v>980</v>
      </c>
      <c r="AA935" s="1" t="s">
        <v>4026</v>
      </c>
      <c r="AB935" s="1" t="str">
        <f>"10456016000167"</f>
        <v>10456016000167</v>
      </c>
      <c r="AC935" s="1"/>
      <c r="AD935" s="1" t="s">
        <v>149</v>
      </c>
      <c r="AE935" s="1"/>
      <c r="AF935" s="1">
        <v>-43.2075</v>
      </c>
      <c r="AG935" s="1">
        <v>-22.902777</v>
      </c>
      <c r="AH935" s="1" t="s">
        <v>4027</v>
      </c>
      <c r="AI935" s="1"/>
      <c r="AJ935" s="1" t="s">
        <v>172</v>
      </c>
      <c r="AK935" s="1"/>
      <c r="AL935" s="1"/>
      <c r="AM935" s="1" t="s">
        <v>65</v>
      </c>
      <c r="AN935" s="1" t="s">
        <v>983</v>
      </c>
      <c r="AO935" s="1"/>
      <c r="AP935" s="2">
        <v>44014.8128819445</v>
      </c>
      <c r="AQ935" s="1"/>
      <c r="AR935" s="1" t="s">
        <v>229</v>
      </c>
      <c r="AS935" s="1" t="s">
        <v>3051</v>
      </c>
      <c r="AT935" s="2">
        <v>44269.931099537</v>
      </c>
    </row>
    <row r="936" ht="13.5" customHeight="1">
      <c r="A936" s="1"/>
      <c r="B936" s="1" t="s">
        <v>46</v>
      </c>
      <c r="C936" s="1" t="s">
        <v>47</v>
      </c>
      <c r="D936" s="1"/>
      <c r="E936" s="1" t="s">
        <v>4028</v>
      </c>
      <c r="F936" s="1"/>
      <c r="G936" s="1" t="s">
        <v>49</v>
      </c>
      <c r="H936" s="1" t="s">
        <v>50</v>
      </c>
      <c r="I936" s="1">
        <v>61000.0</v>
      </c>
      <c r="J936" s="1"/>
      <c r="K936" s="1" t="s">
        <v>51</v>
      </c>
      <c r="L936" s="1"/>
      <c r="M936" s="1" t="s">
        <v>4029</v>
      </c>
      <c r="N936" s="1" t="s">
        <v>142</v>
      </c>
      <c r="O936" s="1" t="s">
        <v>143</v>
      </c>
      <c r="P936" s="2">
        <v>43797.7933796296</v>
      </c>
      <c r="Q936" s="1" t="s">
        <v>373</v>
      </c>
      <c r="R936" s="1"/>
      <c r="S936" s="1"/>
      <c r="T936" s="1">
        <v>1505809.0</v>
      </c>
      <c r="U936" s="1" t="s">
        <v>3084</v>
      </c>
      <c r="V936" s="1" t="s">
        <v>193</v>
      </c>
      <c r="W936" s="1" t="s">
        <v>177</v>
      </c>
      <c r="X936" s="1"/>
      <c r="Y936" s="1"/>
      <c r="Z936" s="1" t="s">
        <v>147</v>
      </c>
      <c r="AA936" s="1" t="s">
        <v>4030</v>
      </c>
      <c r="AB936" s="1" t="str">
        <f>"***852042**"</f>
        <v>***852042**</v>
      </c>
      <c r="AC936" s="1"/>
      <c r="AD936" s="1" t="s">
        <v>116</v>
      </c>
      <c r="AE936" s="1"/>
      <c r="AF936" s="1">
        <v>-50.416668</v>
      </c>
      <c r="AG936" s="1">
        <v>-3.322778</v>
      </c>
      <c r="AH936" s="1" t="s">
        <v>4031</v>
      </c>
      <c r="AI936" s="1"/>
      <c r="AJ936" s="1" t="s">
        <v>196</v>
      </c>
      <c r="AK936" s="1"/>
      <c r="AL936" s="1"/>
      <c r="AM936" s="1" t="s">
        <v>65</v>
      </c>
      <c r="AN936" s="1" t="s">
        <v>3087</v>
      </c>
      <c r="AO936" s="1"/>
      <c r="AP936" s="2">
        <v>44056.9270833333</v>
      </c>
      <c r="AQ936" s="1"/>
      <c r="AR936" s="1" t="s">
        <v>793</v>
      </c>
      <c r="AS936" s="1"/>
      <c r="AT936" s="2">
        <v>44269.931099537</v>
      </c>
    </row>
    <row r="937" ht="13.5" customHeight="1">
      <c r="A937" s="1">
        <v>2043485.0</v>
      </c>
      <c r="B937" s="1" t="s">
        <v>67</v>
      </c>
      <c r="C937" s="1" t="s">
        <v>68</v>
      </c>
      <c r="D937" s="1" t="s">
        <v>46</v>
      </c>
      <c r="E937" s="1" t="s">
        <v>4032</v>
      </c>
      <c r="F937" s="1"/>
      <c r="G937" s="1" t="s">
        <v>70</v>
      </c>
      <c r="H937" s="1" t="s">
        <v>93</v>
      </c>
      <c r="I937" s="1">
        <v>12264.9</v>
      </c>
      <c r="J937" s="1"/>
      <c r="K937" s="1"/>
      <c r="L937" s="1" t="s">
        <v>898</v>
      </c>
      <c r="M937" s="1" t="s">
        <v>4033</v>
      </c>
      <c r="N937" s="1" t="s">
        <v>142</v>
      </c>
      <c r="O937" s="1" t="s">
        <v>143</v>
      </c>
      <c r="P937" s="2">
        <v>43797.7916666667</v>
      </c>
      <c r="Q937" s="1" t="s">
        <v>373</v>
      </c>
      <c r="R937" s="3">
        <v>43797.0</v>
      </c>
      <c r="S937" s="1"/>
      <c r="T937" s="1">
        <v>2211001.0</v>
      </c>
      <c r="U937" s="1" t="s">
        <v>1667</v>
      </c>
      <c r="V937" s="1" t="s">
        <v>895</v>
      </c>
      <c r="W937" s="1" t="s">
        <v>127</v>
      </c>
      <c r="X937" s="1"/>
      <c r="Y937" s="1" t="str">
        <f>"02020000113202054"</f>
        <v>02020000113202054</v>
      </c>
      <c r="Z937" s="1" t="s">
        <v>147</v>
      </c>
      <c r="AA937" s="1" t="s">
        <v>4034</v>
      </c>
      <c r="AB937" s="1" t="str">
        <f>"***011845**"</f>
        <v>***011845**</v>
      </c>
      <c r="AC937" s="1"/>
      <c r="AD937" s="1"/>
      <c r="AE937" s="1"/>
      <c r="AF937" s="1">
        <v>-42.785831</v>
      </c>
      <c r="AG937" s="1">
        <v>-5.064445</v>
      </c>
      <c r="AH937" s="1" t="s">
        <v>4035</v>
      </c>
      <c r="AI937" s="1"/>
      <c r="AJ937" s="1" t="s">
        <v>898</v>
      </c>
      <c r="AK937" s="1"/>
      <c r="AL937" s="1" t="s">
        <v>79</v>
      </c>
      <c r="AM937" s="1" t="s">
        <v>65</v>
      </c>
      <c r="AN937" s="1" t="s">
        <v>152</v>
      </c>
      <c r="AO937" s="2">
        <v>44239.0</v>
      </c>
      <c r="AP937" s="2">
        <v>44239.728275463</v>
      </c>
      <c r="AQ937" s="1" t="s">
        <v>80</v>
      </c>
      <c r="AR937" s="1" t="s">
        <v>181</v>
      </c>
      <c r="AS937" s="1"/>
      <c r="AT937" s="2">
        <v>44269.931099537</v>
      </c>
    </row>
    <row r="938" ht="13.5" customHeight="1">
      <c r="A938" s="1">
        <v>2034837.0</v>
      </c>
      <c r="B938" s="1" t="s">
        <v>67</v>
      </c>
      <c r="C938" s="1" t="s">
        <v>68</v>
      </c>
      <c r="D938" s="1" t="s">
        <v>46</v>
      </c>
      <c r="E938" s="1" t="s">
        <v>4036</v>
      </c>
      <c r="F938" s="1"/>
      <c r="G938" s="1" t="s">
        <v>70</v>
      </c>
      <c r="H938" s="1" t="s">
        <v>93</v>
      </c>
      <c r="I938" s="1">
        <v>440000.0</v>
      </c>
      <c r="J938" s="1"/>
      <c r="K938" s="1"/>
      <c r="L938" s="1" t="s">
        <v>196</v>
      </c>
      <c r="M938" s="1" t="s">
        <v>4037</v>
      </c>
      <c r="N938" s="1" t="s">
        <v>142</v>
      </c>
      <c r="O938" s="1" t="s">
        <v>143</v>
      </c>
      <c r="P938" s="2">
        <v>43797.75</v>
      </c>
      <c r="Q938" s="1" t="s">
        <v>74</v>
      </c>
      <c r="R938" s="3">
        <v>43797.0</v>
      </c>
      <c r="S938" s="1"/>
      <c r="T938" s="1">
        <v>1505809.0</v>
      </c>
      <c r="U938" s="1" t="s">
        <v>3084</v>
      </c>
      <c r="V938" s="1" t="s">
        <v>193</v>
      </c>
      <c r="W938" s="1" t="s">
        <v>177</v>
      </c>
      <c r="X938" s="1"/>
      <c r="Y938" s="1" t="str">
        <f>"02018010339201979"</f>
        <v>02018010339201979</v>
      </c>
      <c r="Z938" s="1" t="s">
        <v>147</v>
      </c>
      <c r="AA938" s="1" t="s">
        <v>4038</v>
      </c>
      <c r="AB938" s="1" t="str">
        <f>"***668272**"</f>
        <v>***668272**</v>
      </c>
      <c r="AC938" s="1"/>
      <c r="AD938" s="1" t="s">
        <v>116</v>
      </c>
      <c r="AE938" s="1"/>
      <c r="AF938" s="1">
        <v>-50.620833</v>
      </c>
      <c r="AG938" s="1">
        <v>-3.221667</v>
      </c>
      <c r="AH938" s="1" t="s">
        <v>4039</v>
      </c>
      <c r="AI938" s="1"/>
      <c r="AJ938" s="1" t="s">
        <v>196</v>
      </c>
      <c r="AK938" s="1" t="s">
        <v>4040</v>
      </c>
      <c r="AL938" s="1" t="s">
        <v>79</v>
      </c>
      <c r="AM938" s="1" t="s">
        <v>65</v>
      </c>
      <c r="AN938" s="1" t="s">
        <v>3087</v>
      </c>
      <c r="AO938" s="2">
        <v>43892.0</v>
      </c>
      <c r="AP938" s="2">
        <v>44109.4953009259</v>
      </c>
      <c r="AQ938" s="1" t="s">
        <v>80</v>
      </c>
      <c r="AR938" s="1" t="s">
        <v>650</v>
      </c>
      <c r="AS938" s="1"/>
      <c r="AT938" s="2">
        <v>44269.931099537</v>
      </c>
    </row>
    <row r="939" ht="13.5" customHeight="1">
      <c r="A939" s="1">
        <v>2037457.0</v>
      </c>
      <c r="B939" s="1" t="s">
        <v>67</v>
      </c>
      <c r="C939" s="1" t="s">
        <v>68</v>
      </c>
      <c r="D939" s="1" t="s">
        <v>46</v>
      </c>
      <c r="E939" s="1" t="s">
        <v>4041</v>
      </c>
      <c r="F939" s="1"/>
      <c r="G939" s="1" t="s">
        <v>70</v>
      </c>
      <c r="H939" s="1" t="s">
        <v>50</v>
      </c>
      <c r="I939" s="1">
        <v>105000.0</v>
      </c>
      <c r="J939" s="1"/>
      <c r="K939" s="1"/>
      <c r="L939" s="1" t="s">
        <v>172</v>
      </c>
      <c r="M939" s="1" t="s">
        <v>4042</v>
      </c>
      <c r="N939" s="1" t="s">
        <v>283</v>
      </c>
      <c r="O939" s="1" t="s">
        <v>978</v>
      </c>
      <c r="P939" s="2">
        <v>43797.75</v>
      </c>
      <c r="Q939" s="1" t="s">
        <v>74</v>
      </c>
      <c r="R939" s="1"/>
      <c r="S939" s="1"/>
      <c r="T939" s="1">
        <v>3525904.0</v>
      </c>
      <c r="U939" s="1" t="s">
        <v>4043</v>
      </c>
      <c r="V939" s="1" t="s">
        <v>58</v>
      </c>
      <c r="W939" s="1" t="s">
        <v>59</v>
      </c>
      <c r="X939" s="1"/>
      <c r="Y939" s="1"/>
      <c r="Z939" s="1" t="s">
        <v>980</v>
      </c>
      <c r="AA939" s="1" t="s">
        <v>4044</v>
      </c>
      <c r="AB939" s="1" t="str">
        <f>"03522731000195"</f>
        <v>03522731000195</v>
      </c>
      <c r="AC939" s="1"/>
      <c r="AD939" s="1"/>
      <c r="AE939" s="1"/>
      <c r="AF939" s="1">
        <v>-46.884167</v>
      </c>
      <c r="AG939" s="1">
        <v>-23.186388</v>
      </c>
      <c r="AH939" s="1" t="s">
        <v>4045</v>
      </c>
      <c r="AI939" s="1"/>
      <c r="AJ939" s="1" t="s">
        <v>172</v>
      </c>
      <c r="AK939" s="1"/>
      <c r="AL939" s="1" t="s">
        <v>79</v>
      </c>
      <c r="AM939" s="1" t="s">
        <v>65</v>
      </c>
      <c r="AN939" s="1" t="s">
        <v>983</v>
      </c>
      <c r="AO939" s="2">
        <v>43998.0</v>
      </c>
      <c r="AP939" s="2">
        <v>43998.4329976852</v>
      </c>
      <c r="AQ939" s="1" t="s">
        <v>80</v>
      </c>
      <c r="AR939" s="1" t="s">
        <v>462</v>
      </c>
      <c r="AS939" s="1" t="s">
        <v>2695</v>
      </c>
      <c r="AT939" s="2">
        <v>44269.931099537</v>
      </c>
    </row>
    <row r="940" ht="13.5" customHeight="1">
      <c r="A940" s="1"/>
      <c r="B940" s="1" t="s">
        <v>46</v>
      </c>
      <c r="C940" s="1" t="s">
        <v>47</v>
      </c>
      <c r="D940" s="1"/>
      <c r="E940" s="1" t="s">
        <v>4046</v>
      </c>
      <c r="F940" s="1"/>
      <c r="G940" s="1" t="s">
        <v>49</v>
      </c>
      <c r="H940" s="1" t="s">
        <v>50</v>
      </c>
      <c r="I940" s="1">
        <v>85000.0</v>
      </c>
      <c r="J940" s="1"/>
      <c r="K940" s="1" t="s">
        <v>51</v>
      </c>
      <c r="L940" s="1"/>
      <c r="M940" s="1" t="s">
        <v>4047</v>
      </c>
      <c r="N940" s="1" t="s">
        <v>977</v>
      </c>
      <c r="O940" s="1" t="s">
        <v>978</v>
      </c>
      <c r="P940" s="2">
        <v>43797.7358333333</v>
      </c>
      <c r="Q940" s="1" t="s">
        <v>74</v>
      </c>
      <c r="R940" s="1"/>
      <c r="S940" s="1"/>
      <c r="T940" s="1">
        <v>3549904.0</v>
      </c>
      <c r="U940" s="1" t="s">
        <v>1346</v>
      </c>
      <c r="V940" s="1" t="s">
        <v>58</v>
      </c>
      <c r="W940" s="1" t="s">
        <v>59</v>
      </c>
      <c r="X940" s="1"/>
      <c r="Y940" s="1"/>
      <c r="Z940" s="1" t="s">
        <v>980</v>
      </c>
      <c r="AA940" s="1" t="s">
        <v>4048</v>
      </c>
      <c r="AB940" s="1" t="str">
        <f>"19390762000170"</f>
        <v>19390762000170</v>
      </c>
      <c r="AC940" s="1"/>
      <c r="AD940" s="1" t="s">
        <v>149</v>
      </c>
      <c r="AE940" s="1"/>
      <c r="AF940" s="1">
        <v>-45.887222</v>
      </c>
      <c r="AG940" s="1">
        <v>-23.179167</v>
      </c>
      <c r="AH940" s="1" t="s">
        <v>4049</v>
      </c>
      <c r="AI940" s="1"/>
      <c r="AJ940" s="1" t="s">
        <v>172</v>
      </c>
      <c r="AK940" s="1"/>
      <c r="AL940" s="1"/>
      <c r="AM940" s="1" t="s">
        <v>65</v>
      </c>
      <c r="AN940" s="1" t="s">
        <v>983</v>
      </c>
      <c r="AO940" s="1"/>
      <c r="AP940" s="2">
        <v>44014.812974537</v>
      </c>
      <c r="AQ940" s="1"/>
      <c r="AR940" s="1" t="s">
        <v>229</v>
      </c>
      <c r="AS940" s="1" t="s">
        <v>4050</v>
      </c>
      <c r="AT940" s="2">
        <v>44269.931099537</v>
      </c>
    </row>
    <row r="941" ht="13.5" customHeight="1">
      <c r="A941" s="1"/>
      <c r="B941" s="1" t="s">
        <v>46</v>
      </c>
      <c r="C941" s="1" t="s">
        <v>47</v>
      </c>
      <c r="D941" s="1"/>
      <c r="E941" s="1" t="s">
        <v>4051</v>
      </c>
      <c r="F941" s="1"/>
      <c r="G941" s="1" t="s">
        <v>49</v>
      </c>
      <c r="H941" s="1" t="s">
        <v>93</v>
      </c>
      <c r="I941" s="1">
        <v>75240.0</v>
      </c>
      <c r="J941" s="1"/>
      <c r="K941" s="1" t="s">
        <v>51</v>
      </c>
      <c r="L941" s="1"/>
      <c r="M941" s="1" t="s">
        <v>4052</v>
      </c>
      <c r="N941" s="1" t="s">
        <v>977</v>
      </c>
      <c r="O941" s="1" t="s">
        <v>978</v>
      </c>
      <c r="P941" s="2">
        <v>43797.6990046296</v>
      </c>
      <c r="Q941" s="1" t="s">
        <v>373</v>
      </c>
      <c r="R941" s="1"/>
      <c r="S941" s="1"/>
      <c r="T941" s="1">
        <v>5220504.0</v>
      </c>
      <c r="U941" s="1" t="s">
        <v>3937</v>
      </c>
      <c r="V941" s="1" t="s">
        <v>375</v>
      </c>
      <c r="W941" s="1" t="s">
        <v>127</v>
      </c>
      <c r="X941" s="1"/>
      <c r="Y941" s="1"/>
      <c r="Z941" s="1" t="s">
        <v>980</v>
      </c>
      <c r="AA941" s="1" t="s">
        <v>4053</v>
      </c>
      <c r="AB941" s="1" t="str">
        <f>"***384241**"</f>
        <v>***384241**</v>
      </c>
      <c r="AC941" s="1"/>
      <c r="AD941" s="1" t="s">
        <v>62</v>
      </c>
      <c r="AE941" s="1"/>
      <c r="AF941" s="1">
        <v>-52.118057</v>
      </c>
      <c r="AG941" s="1">
        <v>-18.468056</v>
      </c>
      <c r="AH941" s="1" t="s">
        <v>4054</v>
      </c>
      <c r="AI941" s="1"/>
      <c r="AJ941" s="1" t="s">
        <v>371</v>
      </c>
      <c r="AK941" s="1"/>
      <c r="AL941" s="1"/>
      <c r="AM941" s="1" t="s">
        <v>65</v>
      </c>
      <c r="AN941" s="1" t="s">
        <v>1551</v>
      </c>
      <c r="AO941" s="1"/>
      <c r="AP941" s="2">
        <v>43797.7251157407</v>
      </c>
      <c r="AQ941" s="1"/>
      <c r="AR941" s="1" t="s">
        <v>1756</v>
      </c>
      <c r="AS941" s="1" t="s">
        <v>4055</v>
      </c>
      <c r="AT941" s="2">
        <v>44269.931099537</v>
      </c>
    </row>
    <row r="942" ht="13.5" customHeight="1">
      <c r="A942" s="1"/>
      <c r="B942" s="1" t="s">
        <v>46</v>
      </c>
      <c r="C942" s="1" t="s">
        <v>47</v>
      </c>
      <c r="D942" s="1"/>
      <c r="E942" s="1" t="s">
        <v>4056</v>
      </c>
      <c r="F942" s="1"/>
      <c r="G942" s="1" t="s">
        <v>49</v>
      </c>
      <c r="H942" s="1" t="s">
        <v>50</v>
      </c>
      <c r="I942" s="1">
        <v>165000.0</v>
      </c>
      <c r="J942" s="1"/>
      <c r="K942" s="1" t="s">
        <v>51</v>
      </c>
      <c r="L942" s="1"/>
      <c r="M942" s="1" t="s">
        <v>976</v>
      </c>
      <c r="N942" s="1" t="s">
        <v>977</v>
      </c>
      <c r="O942" s="1" t="s">
        <v>978</v>
      </c>
      <c r="P942" s="2">
        <v>43797.6846412037</v>
      </c>
      <c r="Q942" s="1" t="s">
        <v>74</v>
      </c>
      <c r="R942" s="1"/>
      <c r="S942" s="1"/>
      <c r="T942" s="1">
        <v>3549904.0</v>
      </c>
      <c r="U942" s="1" t="s">
        <v>1346</v>
      </c>
      <c r="V942" s="1" t="s">
        <v>58</v>
      </c>
      <c r="W942" s="1" t="s">
        <v>59</v>
      </c>
      <c r="X942" s="1"/>
      <c r="Y942" s="1"/>
      <c r="Z942" s="1" t="s">
        <v>980</v>
      </c>
      <c r="AA942" s="1" t="s">
        <v>3831</v>
      </c>
      <c r="AB942" s="1" t="str">
        <f>"15642942000140"</f>
        <v>15642942000140</v>
      </c>
      <c r="AC942" s="1"/>
      <c r="AD942" s="1" t="s">
        <v>149</v>
      </c>
      <c r="AE942" s="1"/>
      <c r="AF942" s="1">
        <v>-46.044167</v>
      </c>
      <c r="AG942" s="1">
        <v>-23.407778</v>
      </c>
      <c r="AH942" s="1" t="s">
        <v>982</v>
      </c>
      <c r="AI942" s="1"/>
      <c r="AJ942" s="1" t="s">
        <v>172</v>
      </c>
      <c r="AK942" s="1"/>
      <c r="AL942" s="1"/>
      <c r="AM942" s="1" t="s">
        <v>65</v>
      </c>
      <c r="AN942" s="1" t="s">
        <v>983</v>
      </c>
      <c r="AO942" s="1"/>
      <c r="AP942" s="2">
        <v>44008.7449652778</v>
      </c>
      <c r="AQ942" s="1"/>
      <c r="AR942" s="1" t="s">
        <v>984</v>
      </c>
      <c r="AS942" s="1" t="s">
        <v>2383</v>
      </c>
      <c r="AT942" s="2">
        <v>44269.931099537</v>
      </c>
    </row>
    <row r="943" ht="13.5" customHeight="1">
      <c r="A943" s="1"/>
      <c r="B943" s="1" t="s">
        <v>46</v>
      </c>
      <c r="C943" s="1" t="s">
        <v>47</v>
      </c>
      <c r="D943" s="1"/>
      <c r="E943" s="1" t="s">
        <v>4057</v>
      </c>
      <c r="F943" s="1"/>
      <c r="G943" s="1" t="s">
        <v>49</v>
      </c>
      <c r="H943" s="1" t="s">
        <v>50</v>
      </c>
      <c r="I943" s="1">
        <v>85000.0</v>
      </c>
      <c r="J943" s="1"/>
      <c r="K943" s="1" t="s">
        <v>51</v>
      </c>
      <c r="L943" s="1"/>
      <c r="M943" s="1" t="s">
        <v>4058</v>
      </c>
      <c r="N943" s="1" t="s">
        <v>977</v>
      </c>
      <c r="O943" s="1" t="s">
        <v>978</v>
      </c>
      <c r="P943" s="2">
        <v>43797.6830787037</v>
      </c>
      <c r="Q943" s="1" t="s">
        <v>74</v>
      </c>
      <c r="R943" s="1"/>
      <c r="S943" s="1"/>
      <c r="T943" s="1">
        <v>3516408.0</v>
      </c>
      <c r="U943" s="1" t="s">
        <v>2414</v>
      </c>
      <c r="V943" s="1" t="s">
        <v>58</v>
      </c>
      <c r="W943" s="1" t="s">
        <v>59</v>
      </c>
      <c r="X943" s="1"/>
      <c r="Y943" s="1"/>
      <c r="Z943" s="1" t="s">
        <v>980</v>
      </c>
      <c r="AA943" s="1" t="s">
        <v>2415</v>
      </c>
      <c r="AB943" s="1" t="str">
        <f>"61465597000134"</f>
        <v>61465597000134</v>
      </c>
      <c r="AC943" s="1"/>
      <c r="AD943" s="1" t="s">
        <v>149</v>
      </c>
      <c r="AE943" s="1"/>
      <c r="AF943" s="1">
        <v>-46.725002</v>
      </c>
      <c r="AG943" s="1">
        <v>-23.322779</v>
      </c>
      <c r="AH943" s="1" t="s">
        <v>4059</v>
      </c>
      <c r="AI943" s="1"/>
      <c r="AJ943" s="1" t="s">
        <v>172</v>
      </c>
      <c r="AK943" s="1"/>
      <c r="AL943" s="1"/>
      <c r="AM943" s="1" t="s">
        <v>65</v>
      </c>
      <c r="AN943" s="1" t="s">
        <v>983</v>
      </c>
      <c r="AO943" s="1"/>
      <c r="AP943" s="2">
        <v>44014.8130787037</v>
      </c>
      <c r="AQ943" s="1"/>
      <c r="AR943" s="1" t="s">
        <v>984</v>
      </c>
      <c r="AS943" s="1" t="s">
        <v>4060</v>
      </c>
      <c r="AT943" s="2">
        <v>44269.931099537</v>
      </c>
    </row>
    <row r="944" ht="13.5" customHeight="1">
      <c r="A944" s="1"/>
      <c r="B944" s="1" t="s">
        <v>46</v>
      </c>
      <c r="C944" s="1" t="s">
        <v>47</v>
      </c>
      <c r="D944" s="1"/>
      <c r="E944" s="1" t="s">
        <v>4061</v>
      </c>
      <c r="F944" s="1"/>
      <c r="G944" s="1" t="s">
        <v>49</v>
      </c>
      <c r="H944" s="1" t="s">
        <v>93</v>
      </c>
      <c r="I944" s="1">
        <v>80000.0</v>
      </c>
      <c r="J944" s="1"/>
      <c r="K944" s="1"/>
      <c r="L944" s="1"/>
      <c r="M944" s="1" t="s">
        <v>4062</v>
      </c>
      <c r="N944" s="1" t="s">
        <v>977</v>
      </c>
      <c r="O944" s="1" t="s">
        <v>978</v>
      </c>
      <c r="P944" s="2">
        <v>43797.6739930556</v>
      </c>
      <c r="Q944" s="1" t="s">
        <v>373</v>
      </c>
      <c r="R944" s="1"/>
      <c r="S944" s="1"/>
      <c r="T944" s="1">
        <v>5220504.0</v>
      </c>
      <c r="U944" s="1" t="s">
        <v>3937</v>
      </c>
      <c r="V944" s="1" t="s">
        <v>375</v>
      </c>
      <c r="W944" s="1" t="s">
        <v>127</v>
      </c>
      <c r="X944" s="1"/>
      <c r="Y944" s="1"/>
      <c r="Z944" s="1" t="s">
        <v>980</v>
      </c>
      <c r="AA944" s="1" t="s">
        <v>4063</v>
      </c>
      <c r="AB944" s="1" t="str">
        <f>"***012040**"</f>
        <v>***012040**</v>
      </c>
      <c r="AC944" s="1"/>
      <c r="AD944" s="1" t="s">
        <v>62</v>
      </c>
      <c r="AE944" s="1"/>
      <c r="AF944" s="1">
        <v>-51.965836</v>
      </c>
      <c r="AG944" s="1">
        <v>-18.236944</v>
      </c>
      <c r="AH944" s="1" t="s">
        <v>4064</v>
      </c>
      <c r="AI944" s="1"/>
      <c r="AJ944" s="1" t="s">
        <v>371</v>
      </c>
      <c r="AK944" s="1"/>
      <c r="AL944" s="1"/>
      <c r="AM944" s="1" t="s">
        <v>65</v>
      </c>
      <c r="AN944" s="1" t="s">
        <v>1551</v>
      </c>
      <c r="AO944" s="1"/>
      <c r="AP944" s="2">
        <v>43797.6966782407</v>
      </c>
      <c r="AQ944" s="1"/>
      <c r="AR944" s="1" t="s">
        <v>1756</v>
      </c>
      <c r="AS944" s="1" t="s">
        <v>4065</v>
      </c>
      <c r="AT944" s="2">
        <v>44269.931099537</v>
      </c>
    </row>
    <row r="945" ht="13.5" customHeight="1">
      <c r="A945" s="1">
        <v>2034917.0</v>
      </c>
      <c r="B945" s="1" t="s">
        <v>67</v>
      </c>
      <c r="C945" s="1" t="s">
        <v>68</v>
      </c>
      <c r="D945" s="1" t="s">
        <v>46</v>
      </c>
      <c r="E945" s="1" t="s">
        <v>4066</v>
      </c>
      <c r="F945" s="1"/>
      <c r="G945" s="1" t="s">
        <v>70</v>
      </c>
      <c r="H945" s="1" t="s">
        <v>50</v>
      </c>
      <c r="I945" s="1">
        <v>87260.0</v>
      </c>
      <c r="J945" s="1"/>
      <c r="K945" s="1"/>
      <c r="L945" s="1" t="s">
        <v>151</v>
      </c>
      <c r="M945" s="1" t="s">
        <v>4067</v>
      </c>
      <c r="N945" s="1" t="s">
        <v>283</v>
      </c>
      <c r="O945" s="1" t="s">
        <v>978</v>
      </c>
      <c r="P945" s="2">
        <v>43797.6666666667</v>
      </c>
      <c r="Q945" s="1" t="s">
        <v>74</v>
      </c>
      <c r="R945" s="3">
        <v>43797.0</v>
      </c>
      <c r="S945" s="1"/>
      <c r="T945" s="1">
        <v>4301602.0</v>
      </c>
      <c r="U945" s="1" t="s">
        <v>206</v>
      </c>
      <c r="V945" s="1" t="s">
        <v>145</v>
      </c>
      <c r="W945" s="1" t="s">
        <v>146</v>
      </c>
      <c r="X945" s="1"/>
      <c r="Y945" s="1" t="str">
        <f>"02023000059202017"</f>
        <v>02023000059202017</v>
      </c>
      <c r="Z945" s="1" t="s">
        <v>980</v>
      </c>
      <c r="AA945" s="1" t="s">
        <v>4068</v>
      </c>
      <c r="AB945" s="1" t="str">
        <f>"***886240**"</f>
        <v>***886240**</v>
      </c>
      <c r="AC945" s="1"/>
      <c r="AD945" s="1"/>
      <c r="AE945" s="1"/>
      <c r="AF945" s="1">
        <v>-54.078888</v>
      </c>
      <c r="AG945" s="1">
        <v>-31.300554</v>
      </c>
      <c r="AH945" s="1" t="s">
        <v>4069</v>
      </c>
      <c r="AI945" s="1"/>
      <c r="AJ945" s="1" t="s">
        <v>151</v>
      </c>
      <c r="AK945" s="1"/>
      <c r="AL945" s="1" t="s">
        <v>79</v>
      </c>
      <c r="AM945" s="1" t="s">
        <v>65</v>
      </c>
      <c r="AN945" s="1" t="s">
        <v>152</v>
      </c>
      <c r="AO945" s="2">
        <v>43892.0</v>
      </c>
      <c r="AP945" s="2">
        <v>43892.7064814815</v>
      </c>
      <c r="AQ945" s="1" t="s">
        <v>80</v>
      </c>
      <c r="AR945" s="1" t="s">
        <v>1576</v>
      </c>
      <c r="AS945" s="1"/>
      <c r="AT945" s="2">
        <v>44269.931099537</v>
      </c>
    </row>
    <row r="946" ht="13.5" customHeight="1">
      <c r="A946" s="1">
        <v>2036009.0</v>
      </c>
      <c r="B946" s="1" t="s">
        <v>67</v>
      </c>
      <c r="C946" s="1" t="s">
        <v>68</v>
      </c>
      <c r="D946" s="1" t="s">
        <v>46</v>
      </c>
      <c r="E946" s="1" t="s">
        <v>4070</v>
      </c>
      <c r="F946" s="1"/>
      <c r="G946" s="1" t="s">
        <v>70</v>
      </c>
      <c r="H946" s="1" t="s">
        <v>50</v>
      </c>
      <c r="I946" s="1">
        <v>1500.0</v>
      </c>
      <c r="J946" s="1"/>
      <c r="K946" s="1"/>
      <c r="L946" s="1" t="s">
        <v>172</v>
      </c>
      <c r="M946" s="1" t="s">
        <v>4071</v>
      </c>
      <c r="N946" s="1" t="s">
        <v>53</v>
      </c>
      <c r="O946" s="1" t="s">
        <v>54</v>
      </c>
      <c r="P946" s="2">
        <v>43797.6666666667</v>
      </c>
      <c r="Q946" s="1" t="s">
        <v>373</v>
      </c>
      <c r="R946" s="3">
        <v>43797.0</v>
      </c>
      <c r="S946" s="1"/>
      <c r="T946" s="1">
        <v>2302602.0</v>
      </c>
      <c r="U946" s="1" t="s">
        <v>4072</v>
      </c>
      <c r="V946" s="1" t="s">
        <v>112</v>
      </c>
      <c r="W946" s="1" t="s">
        <v>288</v>
      </c>
      <c r="X946" s="1"/>
      <c r="Y946" s="1" t="str">
        <f>"02001009425202051"</f>
        <v>02001009425202051</v>
      </c>
      <c r="Z946" s="1" t="s">
        <v>60</v>
      </c>
      <c r="AA946" s="1" t="s">
        <v>4073</v>
      </c>
      <c r="AB946" s="1" t="str">
        <f t="shared" ref="AB946:AB947" si="42">"***708263**"</f>
        <v>***708263**</v>
      </c>
      <c r="AC946" s="1"/>
      <c r="AD946" s="1"/>
      <c r="AE946" s="1"/>
      <c r="AF946" s="1">
        <v>-40.840832</v>
      </c>
      <c r="AG946" s="1">
        <v>-2.8975</v>
      </c>
      <c r="AH946" s="1" t="s">
        <v>4074</v>
      </c>
      <c r="AI946" s="1"/>
      <c r="AJ946" s="1" t="s">
        <v>172</v>
      </c>
      <c r="AK946" s="1"/>
      <c r="AL946" s="1" t="s">
        <v>79</v>
      </c>
      <c r="AM946" s="1" t="s">
        <v>65</v>
      </c>
      <c r="AN946" s="1" t="s">
        <v>2722</v>
      </c>
      <c r="AO946" s="2">
        <v>43924.0</v>
      </c>
      <c r="AP946" s="2">
        <v>43924.4804513889</v>
      </c>
      <c r="AQ946" s="1" t="s">
        <v>80</v>
      </c>
      <c r="AR946" s="1" t="s">
        <v>81</v>
      </c>
      <c r="AS946" s="1"/>
      <c r="AT946" s="2">
        <v>44269.931099537</v>
      </c>
    </row>
    <row r="947" ht="13.5" customHeight="1">
      <c r="A947" s="1">
        <v>2036010.0</v>
      </c>
      <c r="B947" s="1" t="s">
        <v>67</v>
      </c>
      <c r="C947" s="1" t="s">
        <v>68</v>
      </c>
      <c r="D947" s="1" t="s">
        <v>46</v>
      </c>
      <c r="E947" s="1" t="s">
        <v>4075</v>
      </c>
      <c r="F947" s="1"/>
      <c r="G947" s="1" t="s">
        <v>70</v>
      </c>
      <c r="H947" s="1" t="s">
        <v>50</v>
      </c>
      <c r="I947" s="1">
        <v>64200.0</v>
      </c>
      <c r="J947" s="1"/>
      <c r="K947" s="1"/>
      <c r="L947" s="1" t="s">
        <v>172</v>
      </c>
      <c r="M947" s="1" t="s">
        <v>4076</v>
      </c>
      <c r="N947" s="1" t="s">
        <v>53</v>
      </c>
      <c r="O947" s="1" t="s">
        <v>54</v>
      </c>
      <c r="P947" s="2">
        <v>43797.6666666667</v>
      </c>
      <c r="Q947" s="1" t="s">
        <v>373</v>
      </c>
      <c r="R947" s="3">
        <v>43797.0</v>
      </c>
      <c r="S947" s="1"/>
      <c r="T947" s="1">
        <v>2302602.0</v>
      </c>
      <c r="U947" s="1" t="s">
        <v>4072</v>
      </c>
      <c r="V947" s="1" t="s">
        <v>112</v>
      </c>
      <c r="W947" s="1" t="s">
        <v>288</v>
      </c>
      <c r="X947" s="1"/>
      <c r="Y947" s="1" t="str">
        <f>"02001009427202041"</f>
        <v>02001009427202041</v>
      </c>
      <c r="Z947" s="1" t="s">
        <v>60</v>
      </c>
      <c r="AA947" s="1" t="s">
        <v>4073</v>
      </c>
      <c r="AB947" s="1" t="str">
        <f t="shared" si="42"/>
        <v>***708263**</v>
      </c>
      <c r="AC947" s="1"/>
      <c r="AD947" s="1"/>
      <c r="AE947" s="1"/>
      <c r="AF947" s="1">
        <v>-40.840553</v>
      </c>
      <c r="AG947" s="1">
        <v>-2.8975</v>
      </c>
      <c r="AH947" s="1" t="s">
        <v>4074</v>
      </c>
      <c r="AI947" s="1"/>
      <c r="AJ947" s="1" t="s">
        <v>172</v>
      </c>
      <c r="AK947" s="1"/>
      <c r="AL947" s="1" t="s">
        <v>79</v>
      </c>
      <c r="AM947" s="1" t="s">
        <v>65</v>
      </c>
      <c r="AN947" s="1" t="s">
        <v>2722</v>
      </c>
      <c r="AO947" s="2">
        <v>43924.0</v>
      </c>
      <c r="AP947" s="2">
        <v>43924.4814351852</v>
      </c>
      <c r="AQ947" s="1" t="s">
        <v>80</v>
      </c>
      <c r="AR947" s="1" t="s">
        <v>1428</v>
      </c>
      <c r="AS947" s="1"/>
      <c r="AT947" s="2">
        <v>44269.931099537</v>
      </c>
    </row>
    <row r="948" ht="13.5" customHeight="1">
      <c r="A948" s="1">
        <v>2043359.0</v>
      </c>
      <c r="B948" s="1" t="s">
        <v>67</v>
      </c>
      <c r="C948" s="1" t="s">
        <v>68</v>
      </c>
      <c r="D948" s="1" t="s">
        <v>46</v>
      </c>
      <c r="E948" s="1" t="s">
        <v>4077</v>
      </c>
      <c r="F948" s="1"/>
      <c r="G948" s="1" t="s">
        <v>70</v>
      </c>
      <c r="H948" s="1" t="s">
        <v>93</v>
      </c>
      <c r="I948" s="1">
        <v>12160.0</v>
      </c>
      <c r="J948" s="1"/>
      <c r="K948" s="1"/>
      <c r="L948" s="1" t="s">
        <v>371</v>
      </c>
      <c r="M948" s="1" t="s">
        <v>4078</v>
      </c>
      <c r="N948" s="1" t="s">
        <v>283</v>
      </c>
      <c r="O948" s="1" t="s">
        <v>978</v>
      </c>
      <c r="P948" s="2">
        <v>43797.6666666667</v>
      </c>
      <c r="Q948" s="1" t="s">
        <v>373</v>
      </c>
      <c r="R948" s="3">
        <v>43797.0</v>
      </c>
      <c r="S948" s="1"/>
      <c r="T948" s="1">
        <v>5220504.0</v>
      </c>
      <c r="U948" s="1" t="s">
        <v>3937</v>
      </c>
      <c r="V948" s="1" t="s">
        <v>375</v>
      </c>
      <c r="W948" s="1" t="s">
        <v>127</v>
      </c>
      <c r="X948" s="1"/>
      <c r="Y948" s="1" t="str">
        <f>"02010003978201958"</f>
        <v>02010003978201958</v>
      </c>
      <c r="Z948" s="1" t="s">
        <v>980</v>
      </c>
      <c r="AA948" s="1" t="s">
        <v>4063</v>
      </c>
      <c r="AB948" s="1" t="str">
        <f>"***012040**"</f>
        <v>***012040**</v>
      </c>
      <c r="AC948" s="1"/>
      <c r="AD948" s="1" t="s">
        <v>116</v>
      </c>
      <c r="AE948" s="1"/>
      <c r="AF948" s="1">
        <v>-51.965833</v>
      </c>
      <c r="AG948" s="1">
        <v>-18.236944</v>
      </c>
      <c r="AH948" s="1" t="s">
        <v>4079</v>
      </c>
      <c r="AI948" s="1"/>
      <c r="AJ948" s="1" t="s">
        <v>371</v>
      </c>
      <c r="AK948" s="1"/>
      <c r="AL948" s="1" t="s">
        <v>118</v>
      </c>
      <c r="AM948" s="1" t="s">
        <v>65</v>
      </c>
      <c r="AN948" s="1" t="s">
        <v>1551</v>
      </c>
      <c r="AO948" s="2">
        <v>44236.0</v>
      </c>
      <c r="AP948" s="2">
        <v>44266.4907407407</v>
      </c>
      <c r="AQ948" s="1" t="s">
        <v>80</v>
      </c>
      <c r="AR948" s="1" t="s">
        <v>1576</v>
      </c>
      <c r="AS948" s="1" t="s">
        <v>4080</v>
      </c>
      <c r="AT948" s="2">
        <v>44269.931099537</v>
      </c>
    </row>
    <row r="949" ht="13.5" customHeight="1">
      <c r="A949" s="1"/>
      <c r="B949" s="1" t="s">
        <v>46</v>
      </c>
      <c r="C949" s="1" t="s">
        <v>47</v>
      </c>
      <c r="D949" s="1"/>
      <c r="E949" s="1" t="s">
        <v>4081</v>
      </c>
      <c r="F949" s="1"/>
      <c r="G949" s="1" t="s">
        <v>49</v>
      </c>
      <c r="H949" s="1" t="s">
        <v>50</v>
      </c>
      <c r="I949" s="1">
        <v>405000.0</v>
      </c>
      <c r="J949" s="1"/>
      <c r="K949" s="1" t="s">
        <v>51</v>
      </c>
      <c r="L949" s="1"/>
      <c r="M949" s="1" t="s">
        <v>4082</v>
      </c>
      <c r="N949" s="1" t="s">
        <v>977</v>
      </c>
      <c r="O949" s="1" t="s">
        <v>978</v>
      </c>
      <c r="P949" s="2">
        <v>43797.6374537037</v>
      </c>
      <c r="Q949" s="1" t="s">
        <v>74</v>
      </c>
      <c r="R949" s="1"/>
      <c r="S949" s="1"/>
      <c r="T949" s="1">
        <v>3304557.0</v>
      </c>
      <c r="U949" s="1" t="s">
        <v>286</v>
      </c>
      <c r="V949" s="1" t="s">
        <v>287</v>
      </c>
      <c r="W949" s="1" t="s">
        <v>59</v>
      </c>
      <c r="X949" s="1"/>
      <c r="Y949" s="1"/>
      <c r="Z949" s="1" t="s">
        <v>980</v>
      </c>
      <c r="AA949" s="1" t="s">
        <v>2690</v>
      </c>
      <c r="AB949" s="1" t="str">
        <f>"04780146000158"</f>
        <v>04780146000158</v>
      </c>
      <c r="AC949" s="1"/>
      <c r="AD949" s="1" t="s">
        <v>149</v>
      </c>
      <c r="AE949" s="1"/>
      <c r="AF949" s="1">
        <v>-43.246944</v>
      </c>
      <c r="AG949" s="1">
        <v>-23.049444</v>
      </c>
      <c r="AH949" s="1" t="s">
        <v>982</v>
      </c>
      <c r="AI949" s="1"/>
      <c r="AJ949" s="1" t="s">
        <v>172</v>
      </c>
      <c r="AK949" s="1"/>
      <c r="AL949" s="1"/>
      <c r="AM949" s="1" t="s">
        <v>65</v>
      </c>
      <c r="AN949" s="1" t="s">
        <v>983</v>
      </c>
      <c r="AO949" s="1"/>
      <c r="AP949" s="2">
        <v>44008.7451041667</v>
      </c>
      <c r="AQ949" s="1"/>
      <c r="AR949" s="1" t="s">
        <v>984</v>
      </c>
      <c r="AS949" s="1" t="s">
        <v>4083</v>
      </c>
      <c r="AT949" s="2">
        <v>44269.931099537</v>
      </c>
    </row>
    <row r="950" ht="13.5" customHeight="1">
      <c r="A950" s="1"/>
      <c r="B950" s="1" t="s">
        <v>46</v>
      </c>
      <c r="C950" s="1" t="s">
        <v>47</v>
      </c>
      <c r="D950" s="1"/>
      <c r="E950" s="1" t="s">
        <v>4084</v>
      </c>
      <c r="F950" s="1"/>
      <c r="G950" s="1" t="s">
        <v>49</v>
      </c>
      <c r="H950" s="1" t="s">
        <v>50</v>
      </c>
      <c r="I950" s="1">
        <v>55000.0</v>
      </c>
      <c r="J950" s="1"/>
      <c r="K950" s="1" t="s">
        <v>51</v>
      </c>
      <c r="L950" s="1"/>
      <c r="M950" s="1" t="s">
        <v>4047</v>
      </c>
      <c r="N950" s="1" t="s">
        <v>977</v>
      </c>
      <c r="O950" s="1" t="s">
        <v>978</v>
      </c>
      <c r="P950" s="2">
        <v>43797.6364930556</v>
      </c>
      <c r="Q950" s="1" t="s">
        <v>74</v>
      </c>
      <c r="R950" s="1"/>
      <c r="S950" s="1"/>
      <c r="T950" s="1">
        <v>4101804.0</v>
      </c>
      <c r="U950" s="1" t="s">
        <v>2386</v>
      </c>
      <c r="V950" s="1" t="s">
        <v>176</v>
      </c>
      <c r="W950" s="1" t="s">
        <v>59</v>
      </c>
      <c r="X950" s="1"/>
      <c r="Y950" s="1"/>
      <c r="Z950" s="1" t="s">
        <v>980</v>
      </c>
      <c r="AA950" s="1" t="s">
        <v>2387</v>
      </c>
      <c r="AB950" s="1" t="str">
        <f>"44637619000187"</f>
        <v>44637619000187</v>
      </c>
      <c r="AC950" s="1"/>
      <c r="AD950" s="1" t="s">
        <v>149</v>
      </c>
      <c r="AE950" s="1"/>
      <c r="AF950" s="1">
        <v>-49.405003</v>
      </c>
      <c r="AG950" s="1">
        <v>-25.587502</v>
      </c>
      <c r="AH950" s="1" t="s">
        <v>4085</v>
      </c>
      <c r="AI950" s="1"/>
      <c r="AJ950" s="1" t="s">
        <v>172</v>
      </c>
      <c r="AK950" s="1"/>
      <c r="AL950" s="1"/>
      <c r="AM950" s="1" t="s">
        <v>65</v>
      </c>
      <c r="AN950" s="1" t="s">
        <v>983</v>
      </c>
      <c r="AO950" s="1"/>
      <c r="AP950" s="2">
        <v>44014.8131712963</v>
      </c>
      <c r="AQ950" s="1"/>
      <c r="AR950" s="1" t="s">
        <v>984</v>
      </c>
      <c r="AS950" s="1" t="s">
        <v>4086</v>
      </c>
      <c r="AT950" s="2">
        <v>44269.931099537</v>
      </c>
    </row>
    <row r="951" ht="13.5" customHeight="1">
      <c r="A951" s="1">
        <v>2034587.0</v>
      </c>
      <c r="B951" s="1" t="s">
        <v>67</v>
      </c>
      <c r="C951" s="1" t="s">
        <v>68</v>
      </c>
      <c r="D951" s="1" t="s">
        <v>46</v>
      </c>
      <c r="E951" s="1" t="s">
        <v>4087</v>
      </c>
      <c r="F951" s="1"/>
      <c r="G951" s="1" t="s">
        <v>70</v>
      </c>
      <c r="H951" s="1" t="s">
        <v>93</v>
      </c>
      <c r="I951" s="1">
        <v>1500.0</v>
      </c>
      <c r="J951" s="1"/>
      <c r="K951" s="1"/>
      <c r="L951" s="1" t="s">
        <v>587</v>
      </c>
      <c r="M951" s="1" t="s">
        <v>4088</v>
      </c>
      <c r="N951" s="1" t="s">
        <v>95</v>
      </c>
      <c r="O951" s="1" t="s">
        <v>96</v>
      </c>
      <c r="P951" s="2">
        <v>43797.625</v>
      </c>
      <c r="Q951" s="1" t="s">
        <v>373</v>
      </c>
      <c r="R951" s="3">
        <v>43797.0</v>
      </c>
      <c r="S951" s="1"/>
      <c r="T951" s="1">
        <v>3116100.0</v>
      </c>
      <c r="U951" s="1" t="s">
        <v>2938</v>
      </c>
      <c r="V951" s="1" t="s">
        <v>126</v>
      </c>
      <c r="W951" s="1" t="s">
        <v>127</v>
      </c>
      <c r="X951" s="1"/>
      <c r="Y951" s="1" t="str">
        <f>"02566000446201982"</f>
        <v>02566000446201982</v>
      </c>
      <c r="Z951" s="1" t="s">
        <v>98</v>
      </c>
      <c r="AA951" s="1" t="s">
        <v>4089</v>
      </c>
      <c r="AB951" s="1" t="str">
        <f>"***826406**"</f>
        <v>***826406**</v>
      </c>
      <c r="AC951" s="1"/>
      <c r="AD951" s="1"/>
      <c r="AE951" s="1"/>
      <c r="AF951" s="1">
        <v>-42.538887</v>
      </c>
      <c r="AG951" s="1">
        <v>-17.091389</v>
      </c>
      <c r="AH951" s="1" t="s">
        <v>4090</v>
      </c>
      <c r="AI951" s="1"/>
      <c r="AJ951" s="1" t="s">
        <v>587</v>
      </c>
      <c r="AK951" s="1"/>
      <c r="AL951" s="1" t="s">
        <v>79</v>
      </c>
      <c r="AM951" s="1" t="s">
        <v>65</v>
      </c>
      <c r="AN951" s="1" t="s">
        <v>592</v>
      </c>
      <c r="AO951" s="2">
        <v>43888.0</v>
      </c>
      <c r="AP951" s="2">
        <v>43888.8188194444</v>
      </c>
      <c r="AQ951" s="1" t="s">
        <v>80</v>
      </c>
      <c r="AR951" s="1" t="s">
        <v>4091</v>
      </c>
      <c r="AS951" s="1"/>
      <c r="AT951" s="2">
        <v>44269.931099537</v>
      </c>
    </row>
    <row r="952" ht="13.5" customHeight="1">
      <c r="A952" s="1">
        <v>2038107.0</v>
      </c>
      <c r="B952" s="1" t="s">
        <v>67</v>
      </c>
      <c r="C952" s="1" t="s">
        <v>68</v>
      </c>
      <c r="D952" s="1" t="s">
        <v>46</v>
      </c>
      <c r="E952" s="1" t="s">
        <v>4092</v>
      </c>
      <c r="F952" s="1"/>
      <c r="G952" s="1" t="s">
        <v>70</v>
      </c>
      <c r="H952" s="1" t="s">
        <v>50</v>
      </c>
      <c r="I952" s="1">
        <v>26000.0</v>
      </c>
      <c r="J952" s="1"/>
      <c r="K952" s="1"/>
      <c r="L952" s="1" t="s">
        <v>291</v>
      </c>
      <c r="M952" s="1" t="s">
        <v>4093</v>
      </c>
      <c r="N952" s="1" t="s">
        <v>283</v>
      </c>
      <c r="O952" s="1" t="s">
        <v>978</v>
      </c>
      <c r="P952" s="2">
        <v>43797.625</v>
      </c>
      <c r="Q952" s="1" t="s">
        <v>74</v>
      </c>
      <c r="R952" s="3">
        <v>44014.0</v>
      </c>
      <c r="S952" s="1"/>
      <c r="T952" s="1">
        <v>3304557.0</v>
      </c>
      <c r="U952" s="1" t="s">
        <v>286</v>
      </c>
      <c r="V952" s="1" t="s">
        <v>287</v>
      </c>
      <c r="W952" s="1" t="s">
        <v>288</v>
      </c>
      <c r="X952" s="1"/>
      <c r="Y952" s="1" t="str">
        <f>"02022004866201985"</f>
        <v>02022004866201985</v>
      </c>
      <c r="Z952" s="1" t="s">
        <v>980</v>
      </c>
      <c r="AA952" s="1" t="s">
        <v>289</v>
      </c>
      <c r="AB952" s="1" t="str">
        <f>"33000167000101"</f>
        <v>33000167000101</v>
      </c>
      <c r="AC952" s="1"/>
      <c r="AD952" s="1" t="s">
        <v>116</v>
      </c>
      <c r="AE952" s="1"/>
      <c r="AF952" s="1">
        <v>-43.171389</v>
      </c>
      <c r="AG952" s="1">
        <v>-22.905</v>
      </c>
      <c r="AH952" s="1" t="s">
        <v>969</v>
      </c>
      <c r="AI952" s="1"/>
      <c r="AJ952" s="1" t="s">
        <v>291</v>
      </c>
      <c r="AK952" s="1" t="s">
        <v>4094</v>
      </c>
      <c r="AL952" s="1" t="s">
        <v>79</v>
      </c>
      <c r="AM952" s="1" t="s">
        <v>65</v>
      </c>
      <c r="AN952" s="1" t="s">
        <v>292</v>
      </c>
      <c r="AO952" s="2">
        <v>44021.0</v>
      </c>
      <c r="AP952" s="2">
        <v>44208.3926157407</v>
      </c>
      <c r="AQ952" s="1" t="s">
        <v>80</v>
      </c>
      <c r="AR952" s="1" t="s">
        <v>314</v>
      </c>
      <c r="AS952" s="1" t="s">
        <v>4095</v>
      </c>
      <c r="AT952" s="2">
        <v>44269.931099537</v>
      </c>
    </row>
    <row r="953" ht="13.5" customHeight="1">
      <c r="A953" s="1">
        <v>2042702.0</v>
      </c>
      <c r="B953" s="1" t="s">
        <v>67</v>
      </c>
      <c r="C953" s="1" t="s">
        <v>68</v>
      </c>
      <c r="D953" s="1" t="s">
        <v>46</v>
      </c>
      <c r="E953" s="1" t="s">
        <v>4096</v>
      </c>
      <c r="F953" s="1"/>
      <c r="G953" s="1" t="s">
        <v>70</v>
      </c>
      <c r="H953" s="1" t="s">
        <v>93</v>
      </c>
      <c r="I953" s="1">
        <v>12297.0</v>
      </c>
      <c r="J953" s="1"/>
      <c r="K953" s="1"/>
      <c r="L953" s="1" t="s">
        <v>1040</v>
      </c>
      <c r="M953" s="1" t="s">
        <v>4097</v>
      </c>
      <c r="N953" s="1" t="s">
        <v>142</v>
      </c>
      <c r="O953" s="1" t="s">
        <v>143</v>
      </c>
      <c r="P953" s="2">
        <v>43797.625</v>
      </c>
      <c r="Q953" s="1" t="s">
        <v>373</v>
      </c>
      <c r="R953" s="3">
        <v>43797.0</v>
      </c>
      <c r="S953" s="1"/>
      <c r="T953" s="1">
        <v>2604106.0</v>
      </c>
      <c r="U953" s="1" t="s">
        <v>4098</v>
      </c>
      <c r="V953" s="1" t="s">
        <v>1037</v>
      </c>
      <c r="W953" s="1" t="s">
        <v>113</v>
      </c>
      <c r="X953" s="1"/>
      <c r="Y953" s="1" t="str">
        <f>"02019003776201926"</f>
        <v>02019003776201926</v>
      </c>
      <c r="Z953" s="1" t="s">
        <v>147</v>
      </c>
      <c r="AA953" s="1" t="s">
        <v>4099</v>
      </c>
      <c r="AB953" s="1" t="str">
        <f>"***884984**"</f>
        <v>***884984**</v>
      </c>
      <c r="AC953" s="1"/>
      <c r="AD953" s="1"/>
      <c r="AE953" s="1"/>
      <c r="AF953" s="1">
        <v>-36.174164</v>
      </c>
      <c r="AG953" s="1">
        <v>-8.444722</v>
      </c>
      <c r="AH953" s="1" t="s">
        <v>4100</v>
      </c>
      <c r="AI953" s="1"/>
      <c r="AJ953" s="1" t="s">
        <v>1040</v>
      </c>
      <c r="AK953" s="1"/>
      <c r="AL953" s="1" t="s">
        <v>79</v>
      </c>
      <c r="AM953" s="1" t="s">
        <v>65</v>
      </c>
      <c r="AN953" s="1" t="s">
        <v>1041</v>
      </c>
      <c r="AO953" s="2">
        <v>44215.0</v>
      </c>
      <c r="AP953" s="2">
        <v>44215.7434490741</v>
      </c>
      <c r="AQ953" s="1" t="s">
        <v>80</v>
      </c>
      <c r="AR953" s="1" t="s">
        <v>181</v>
      </c>
      <c r="AS953" s="1"/>
      <c r="AT953" s="2">
        <v>44269.931099537</v>
      </c>
    </row>
    <row r="954" ht="13.5" customHeight="1">
      <c r="A954" s="1">
        <v>2044002.0</v>
      </c>
      <c r="B954" s="1" t="s">
        <v>67</v>
      </c>
      <c r="C954" s="1" t="s">
        <v>89</v>
      </c>
      <c r="D954" s="1" t="s">
        <v>67</v>
      </c>
      <c r="E954" s="1" t="s">
        <v>4101</v>
      </c>
      <c r="F954" s="1"/>
      <c r="G954" s="1" t="s">
        <v>70</v>
      </c>
      <c r="H954" s="1" t="s">
        <v>50</v>
      </c>
      <c r="I954" s="1">
        <v>9000.0</v>
      </c>
      <c r="J954" s="1"/>
      <c r="K954" s="1"/>
      <c r="L954" s="1" t="s">
        <v>172</v>
      </c>
      <c r="M954" s="1" t="s">
        <v>976</v>
      </c>
      <c r="N954" s="1" t="s">
        <v>283</v>
      </c>
      <c r="O954" s="1" t="s">
        <v>978</v>
      </c>
      <c r="P954" s="2">
        <v>43797.625</v>
      </c>
      <c r="Q954" s="1" t="s">
        <v>74</v>
      </c>
      <c r="R954" s="1"/>
      <c r="S954" s="1"/>
      <c r="T954" s="1">
        <v>3505708.0</v>
      </c>
      <c r="U954" s="1" t="s">
        <v>1048</v>
      </c>
      <c r="V954" s="1" t="s">
        <v>58</v>
      </c>
      <c r="W954" s="1" t="s">
        <v>59</v>
      </c>
      <c r="X954" s="1"/>
      <c r="Y954" s="1"/>
      <c r="Z954" s="1" t="s">
        <v>980</v>
      </c>
      <c r="AA954" s="1" t="s">
        <v>1049</v>
      </c>
      <c r="AB954" s="1" t="str">
        <f>"10578068000106"</f>
        <v>10578068000106</v>
      </c>
      <c r="AC954" s="1"/>
      <c r="AD954" s="1"/>
      <c r="AE954" s="1"/>
      <c r="AF954" s="1">
        <v>-46.924446</v>
      </c>
      <c r="AG954" s="1">
        <v>-23.589724</v>
      </c>
      <c r="AH954" s="1" t="s">
        <v>982</v>
      </c>
      <c r="AI954" s="1"/>
      <c r="AJ954" s="1" t="s">
        <v>172</v>
      </c>
      <c r="AK954" s="1"/>
      <c r="AL954" s="1" t="s">
        <v>79</v>
      </c>
      <c r="AM954" s="1" t="s">
        <v>65</v>
      </c>
      <c r="AN954" s="1" t="s">
        <v>983</v>
      </c>
      <c r="AO954" s="2">
        <v>44259.0</v>
      </c>
      <c r="AP954" s="2">
        <v>44259.6123842593</v>
      </c>
      <c r="AQ954" s="1" t="s">
        <v>89</v>
      </c>
      <c r="AR954" s="1" t="s">
        <v>1050</v>
      </c>
      <c r="AS954" s="1" t="s">
        <v>4102</v>
      </c>
      <c r="AT954" s="2">
        <v>44269.931099537</v>
      </c>
    </row>
    <row r="955" ht="13.5" customHeight="1">
      <c r="A955" s="1">
        <v>2034549.0</v>
      </c>
      <c r="B955" s="1" t="s">
        <v>67</v>
      </c>
      <c r="C955" s="1" t="s">
        <v>68</v>
      </c>
      <c r="D955" s="1" t="s">
        <v>46</v>
      </c>
      <c r="E955" s="1" t="s">
        <v>4103</v>
      </c>
      <c r="F955" s="1"/>
      <c r="G955" s="1" t="s">
        <v>70</v>
      </c>
      <c r="H955" s="1" t="s">
        <v>50</v>
      </c>
      <c r="I955" s="1">
        <v>63460.0</v>
      </c>
      <c r="J955" s="1"/>
      <c r="K955" s="1"/>
      <c r="L955" s="1" t="s">
        <v>264</v>
      </c>
      <c r="M955" s="1" t="s">
        <v>4104</v>
      </c>
      <c r="N955" s="1" t="s">
        <v>53</v>
      </c>
      <c r="O955" s="1" t="s">
        <v>54</v>
      </c>
      <c r="P955" s="2">
        <v>43797.5833333333</v>
      </c>
      <c r="Q955" s="1" t="s">
        <v>74</v>
      </c>
      <c r="R955" s="3">
        <v>43797.0</v>
      </c>
      <c r="S955" s="1"/>
      <c r="T955" s="1">
        <v>4205407.0</v>
      </c>
      <c r="U955" s="1" t="s">
        <v>1069</v>
      </c>
      <c r="V955" s="1" t="s">
        <v>267</v>
      </c>
      <c r="W955" s="1" t="s">
        <v>288</v>
      </c>
      <c r="X955" s="1"/>
      <c r="Y955" s="1" t="str">
        <f>"02026003916201977"</f>
        <v>02026003916201977</v>
      </c>
      <c r="Z955" s="1" t="s">
        <v>60</v>
      </c>
      <c r="AA955" s="1" t="s">
        <v>4105</v>
      </c>
      <c r="AB955" s="1" t="str">
        <f>"***627639**"</f>
        <v>***627639**</v>
      </c>
      <c r="AC955" s="1"/>
      <c r="AD955" s="1" t="s">
        <v>116</v>
      </c>
      <c r="AE955" s="1"/>
      <c r="AF955" s="1">
        <v>-48.557222</v>
      </c>
      <c r="AG955" s="1">
        <v>-27.594444</v>
      </c>
      <c r="AH955" s="1" t="s">
        <v>4106</v>
      </c>
      <c r="AI955" s="1"/>
      <c r="AJ955" s="1" t="s">
        <v>264</v>
      </c>
      <c r="AK955" s="1"/>
      <c r="AL955" s="1" t="s">
        <v>118</v>
      </c>
      <c r="AM955" s="1" t="s">
        <v>65</v>
      </c>
      <c r="AN955" s="1" t="s">
        <v>152</v>
      </c>
      <c r="AO955" s="2">
        <v>43888.0</v>
      </c>
      <c r="AP955" s="2">
        <v>43970.4363310185</v>
      </c>
      <c r="AQ955" s="1" t="s">
        <v>80</v>
      </c>
      <c r="AR955" s="1" t="s">
        <v>4107</v>
      </c>
      <c r="AS955" s="1"/>
      <c r="AT955" s="2">
        <v>44269.931099537</v>
      </c>
    </row>
    <row r="956" ht="13.5" customHeight="1">
      <c r="A956" s="1">
        <v>2034586.0</v>
      </c>
      <c r="B956" s="1" t="s">
        <v>67</v>
      </c>
      <c r="C956" s="1" t="s">
        <v>68</v>
      </c>
      <c r="D956" s="1" t="s">
        <v>46</v>
      </c>
      <c r="E956" s="1" t="s">
        <v>4108</v>
      </c>
      <c r="F956" s="1"/>
      <c r="G956" s="1" t="s">
        <v>70</v>
      </c>
      <c r="H956" s="1" t="s">
        <v>50</v>
      </c>
      <c r="I956" s="1">
        <v>121180.0</v>
      </c>
      <c r="J956" s="1"/>
      <c r="K956" s="1"/>
      <c r="L956" s="1" t="s">
        <v>264</v>
      </c>
      <c r="M956" s="1" t="s">
        <v>4109</v>
      </c>
      <c r="N956" s="1" t="s">
        <v>53</v>
      </c>
      <c r="O956" s="1" t="s">
        <v>54</v>
      </c>
      <c r="P956" s="2">
        <v>43797.5833333333</v>
      </c>
      <c r="Q956" s="1" t="s">
        <v>74</v>
      </c>
      <c r="R956" s="3">
        <v>43797.0</v>
      </c>
      <c r="S956" s="1"/>
      <c r="T956" s="1">
        <v>4212502.0</v>
      </c>
      <c r="U956" s="1" t="s">
        <v>4110</v>
      </c>
      <c r="V956" s="1" t="s">
        <v>267</v>
      </c>
      <c r="W956" s="1" t="s">
        <v>288</v>
      </c>
      <c r="X956" s="1"/>
      <c r="Y956" s="1" t="str">
        <f>"02026000078202013"</f>
        <v>02026000078202013</v>
      </c>
      <c r="Z956" s="1" t="s">
        <v>60</v>
      </c>
      <c r="AA956" s="1" t="s">
        <v>4111</v>
      </c>
      <c r="AB956" s="1" t="str">
        <f>"06234012000167"</f>
        <v>06234012000167</v>
      </c>
      <c r="AC956" s="1"/>
      <c r="AD956" s="1"/>
      <c r="AE956" s="1"/>
      <c r="AF956" s="1">
        <v>-48.636112</v>
      </c>
      <c r="AG956" s="1">
        <v>-26.824167</v>
      </c>
      <c r="AH956" s="1" t="s">
        <v>4112</v>
      </c>
      <c r="AI956" s="1"/>
      <c r="AJ956" s="1" t="s">
        <v>264</v>
      </c>
      <c r="AK956" s="1"/>
      <c r="AL956" s="1" t="s">
        <v>79</v>
      </c>
      <c r="AM956" s="1" t="s">
        <v>65</v>
      </c>
      <c r="AN956" s="1" t="s">
        <v>152</v>
      </c>
      <c r="AO956" s="2">
        <v>43888.0</v>
      </c>
      <c r="AP956" s="2">
        <v>43888.8182175926</v>
      </c>
      <c r="AQ956" s="1" t="s">
        <v>80</v>
      </c>
      <c r="AR956" s="1" t="s">
        <v>1428</v>
      </c>
      <c r="AS956" s="1"/>
      <c r="AT956" s="2">
        <v>44269.931099537</v>
      </c>
    </row>
    <row r="957" ht="13.5" customHeight="1">
      <c r="A957" s="1">
        <v>2035057.0</v>
      </c>
      <c r="B957" s="1" t="s">
        <v>67</v>
      </c>
      <c r="C957" s="1" t="s">
        <v>68</v>
      </c>
      <c r="D957" s="1" t="s">
        <v>46</v>
      </c>
      <c r="E957" s="1" t="s">
        <v>4113</v>
      </c>
      <c r="F957" s="1"/>
      <c r="G957" s="1" t="s">
        <v>70</v>
      </c>
      <c r="H957" s="1" t="s">
        <v>93</v>
      </c>
      <c r="I957" s="1">
        <v>277500.0</v>
      </c>
      <c r="J957" s="1"/>
      <c r="K957" s="1"/>
      <c r="L957" s="1" t="s">
        <v>172</v>
      </c>
      <c r="M957" s="1" t="s">
        <v>4114</v>
      </c>
      <c r="N957" s="1" t="s">
        <v>142</v>
      </c>
      <c r="O957" s="1" t="s">
        <v>143</v>
      </c>
      <c r="P957" s="2">
        <v>43797.5833333333</v>
      </c>
      <c r="Q957" s="1" t="s">
        <v>373</v>
      </c>
      <c r="R957" s="3">
        <v>43797.0</v>
      </c>
      <c r="S957" s="1"/>
      <c r="T957" s="1">
        <v>1302405.0</v>
      </c>
      <c r="U957" s="1" t="s">
        <v>2258</v>
      </c>
      <c r="V957" s="1" t="s">
        <v>486</v>
      </c>
      <c r="W957" s="1" t="s">
        <v>177</v>
      </c>
      <c r="X957" s="1"/>
      <c r="Y957" s="1" t="str">
        <f>"02001034897201917"</f>
        <v>02001034897201917</v>
      </c>
      <c r="Z957" s="1" t="s">
        <v>147</v>
      </c>
      <c r="AA957" s="1" t="s">
        <v>4115</v>
      </c>
      <c r="AB957" s="1" t="str">
        <f>"***667306**"</f>
        <v>***667306**</v>
      </c>
      <c r="AC957" s="1"/>
      <c r="AD957" s="1"/>
      <c r="AE957" s="1"/>
      <c r="AF957" s="1">
        <v>-67.078613</v>
      </c>
      <c r="AG957" s="1">
        <v>-8.571111</v>
      </c>
      <c r="AH957" s="1" t="s">
        <v>4116</v>
      </c>
      <c r="AI957" s="1"/>
      <c r="AJ957" s="1" t="s">
        <v>172</v>
      </c>
      <c r="AK957" s="1"/>
      <c r="AL957" s="1" t="s">
        <v>79</v>
      </c>
      <c r="AM957" s="1" t="s">
        <v>65</v>
      </c>
      <c r="AN957" s="1" t="s">
        <v>1395</v>
      </c>
      <c r="AO957" s="2">
        <v>43894.0</v>
      </c>
      <c r="AP957" s="2">
        <v>43894.4551388889</v>
      </c>
      <c r="AQ957" s="1" t="s">
        <v>80</v>
      </c>
      <c r="AR957" s="1" t="s">
        <v>421</v>
      </c>
      <c r="AS957" s="1" t="s">
        <v>4117</v>
      </c>
      <c r="AT957" s="2">
        <v>44269.931099537</v>
      </c>
    </row>
    <row r="958" ht="13.5" customHeight="1">
      <c r="A958" s="1">
        <v>2035275.0</v>
      </c>
      <c r="B958" s="1" t="s">
        <v>67</v>
      </c>
      <c r="C958" s="1" t="s">
        <v>68</v>
      </c>
      <c r="D958" s="1" t="s">
        <v>46</v>
      </c>
      <c r="E958" s="1" t="s">
        <v>4118</v>
      </c>
      <c r="F958" s="1"/>
      <c r="G958" s="1" t="s">
        <v>70</v>
      </c>
      <c r="H958" s="1" t="s">
        <v>93</v>
      </c>
      <c r="I958" s="1">
        <v>55000.0</v>
      </c>
      <c r="J958" s="1"/>
      <c r="K958" s="1"/>
      <c r="L958" s="1" t="s">
        <v>196</v>
      </c>
      <c r="M958" s="1" t="s">
        <v>4119</v>
      </c>
      <c r="N958" s="1" t="s">
        <v>142</v>
      </c>
      <c r="O958" s="1" t="s">
        <v>143</v>
      </c>
      <c r="P958" s="2">
        <v>43797.5833333333</v>
      </c>
      <c r="Q958" s="1" t="s">
        <v>373</v>
      </c>
      <c r="R958" s="3">
        <v>43797.0</v>
      </c>
      <c r="S958" s="1"/>
      <c r="T958" s="1">
        <v>1505809.0</v>
      </c>
      <c r="U958" s="1" t="s">
        <v>3084</v>
      </c>
      <c r="V958" s="1" t="s">
        <v>193</v>
      </c>
      <c r="W958" s="1" t="s">
        <v>177</v>
      </c>
      <c r="X958" s="1"/>
      <c r="Y958" s="1" t="str">
        <f>"02018001505202080"</f>
        <v>02018001505202080</v>
      </c>
      <c r="Z958" s="1" t="s">
        <v>147</v>
      </c>
      <c r="AA958" s="1" t="s">
        <v>4030</v>
      </c>
      <c r="AB958" s="1" t="str">
        <f t="shared" ref="AB958:AB959" si="43">"***852042**"</f>
        <v>***852042**</v>
      </c>
      <c r="AC958" s="1"/>
      <c r="AD958" s="1"/>
      <c r="AE958" s="1"/>
      <c r="AF958" s="1">
        <v>-50.416668</v>
      </c>
      <c r="AG958" s="1">
        <v>-3.322778</v>
      </c>
      <c r="AH958" s="1" t="s">
        <v>4120</v>
      </c>
      <c r="AI958" s="1"/>
      <c r="AJ958" s="1" t="s">
        <v>196</v>
      </c>
      <c r="AK958" s="1"/>
      <c r="AL958" s="1" t="s">
        <v>79</v>
      </c>
      <c r="AM958" s="1" t="s">
        <v>65</v>
      </c>
      <c r="AN958" s="1" t="s">
        <v>3087</v>
      </c>
      <c r="AO958" s="2">
        <v>43899.0</v>
      </c>
      <c r="AP958" s="2">
        <v>43899.7127777778</v>
      </c>
      <c r="AQ958" s="1" t="s">
        <v>80</v>
      </c>
      <c r="AR958" s="1" t="s">
        <v>421</v>
      </c>
      <c r="AS958" s="1"/>
      <c r="AT958" s="2">
        <v>44269.931099537</v>
      </c>
    </row>
    <row r="959" ht="13.5" customHeight="1">
      <c r="A959" s="1">
        <v>2035276.0</v>
      </c>
      <c r="B959" s="1" t="s">
        <v>67</v>
      </c>
      <c r="C959" s="1" t="s">
        <v>68</v>
      </c>
      <c r="D959" s="1" t="s">
        <v>46</v>
      </c>
      <c r="E959" s="1" t="s">
        <v>4121</v>
      </c>
      <c r="F959" s="1"/>
      <c r="G959" s="1" t="s">
        <v>70</v>
      </c>
      <c r="H959" s="1" t="s">
        <v>93</v>
      </c>
      <c r="I959" s="1">
        <v>55000.0</v>
      </c>
      <c r="J959" s="1"/>
      <c r="K959" s="1"/>
      <c r="L959" s="1" t="s">
        <v>196</v>
      </c>
      <c r="M959" s="1" t="s">
        <v>4122</v>
      </c>
      <c r="N959" s="1" t="s">
        <v>142</v>
      </c>
      <c r="O959" s="1" t="s">
        <v>143</v>
      </c>
      <c r="P959" s="2">
        <v>43797.5833333333</v>
      </c>
      <c r="Q959" s="1" t="s">
        <v>373</v>
      </c>
      <c r="R959" s="3">
        <v>43797.0</v>
      </c>
      <c r="S959" s="1"/>
      <c r="T959" s="1">
        <v>1505809.0</v>
      </c>
      <c r="U959" s="1" t="s">
        <v>3084</v>
      </c>
      <c r="V959" s="1" t="s">
        <v>193</v>
      </c>
      <c r="W959" s="1" t="s">
        <v>177</v>
      </c>
      <c r="X959" s="1"/>
      <c r="Y959" s="1" t="str">
        <f>"02018001506202024"</f>
        <v>02018001506202024</v>
      </c>
      <c r="Z959" s="1" t="s">
        <v>147</v>
      </c>
      <c r="AA959" s="1" t="s">
        <v>4030</v>
      </c>
      <c r="AB959" s="1" t="str">
        <f t="shared" si="43"/>
        <v>***852042**</v>
      </c>
      <c r="AC959" s="1"/>
      <c r="AD959" s="1"/>
      <c r="AE959" s="1"/>
      <c r="AF959" s="1">
        <v>-50.416668</v>
      </c>
      <c r="AG959" s="1">
        <v>-3.322778</v>
      </c>
      <c r="AH959" s="1" t="s">
        <v>4123</v>
      </c>
      <c r="AI959" s="1"/>
      <c r="AJ959" s="1" t="s">
        <v>196</v>
      </c>
      <c r="AK959" s="1"/>
      <c r="AL959" s="1" t="s">
        <v>79</v>
      </c>
      <c r="AM959" s="1" t="s">
        <v>65</v>
      </c>
      <c r="AN959" s="1" t="s">
        <v>3087</v>
      </c>
      <c r="AO959" s="2">
        <v>43899.0</v>
      </c>
      <c r="AP959" s="2">
        <v>43899.7130902778</v>
      </c>
      <c r="AQ959" s="1" t="s">
        <v>80</v>
      </c>
      <c r="AR959" s="1" t="s">
        <v>392</v>
      </c>
      <c r="AS959" s="1"/>
      <c r="AT959" s="2">
        <v>44269.931099537</v>
      </c>
    </row>
    <row r="960" ht="13.5" customHeight="1">
      <c r="A960" s="1"/>
      <c r="B960" s="1" t="s">
        <v>46</v>
      </c>
      <c r="C960" s="1" t="s">
        <v>47</v>
      </c>
      <c r="D960" s="1"/>
      <c r="E960" s="1" t="s">
        <v>4124</v>
      </c>
      <c r="F960" s="1"/>
      <c r="G960" s="1" t="s">
        <v>49</v>
      </c>
      <c r="H960" s="1" t="s">
        <v>50</v>
      </c>
      <c r="I960" s="1">
        <v>85000.0</v>
      </c>
      <c r="J960" s="1"/>
      <c r="K960" s="1" t="s">
        <v>51</v>
      </c>
      <c r="L960" s="1"/>
      <c r="M960" s="1" t="s">
        <v>4125</v>
      </c>
      <c r="N960" s="1" t="s">
        <v>977</v>
      </c>
      <c r="O960" s="1" t="s">
        <v>978</v>
      </c>
      <c r="P960" s="2">
        <v>43797.566099537</v>
      </c>
      <c r="Q960" s="1" t="s">
        <v>74</v>
      </c>
      <c r="R960" s="1"/>
      <c r="S960" s="1"/>
      <c r="T960" s="1">
        <v>1302603.0</v>
      </c>
      <c r="U960" s="1" t="s">
        <v>3499</v>
      </c>
      <c r="V960" s="1" t="s">
        <v>486</v>
      </c>
      <c r="W960" s="1" t="s">
        <v>177</v>
      </c>
      <c r="X960" s="1"/>
      <c r="Y960" s="1"/>
      <c r="Z960" s="1" t="s">
        <v>980</v>
      </c>
      <c r="AA960" s="1" t="s">
        <v>4126</v>
      </c>
      <c r="AB960" s="1" t="str">
        <f>"06294505000192"</f>
        <v>06294505000192</v>
      </c>
      <c r="AC960" s="1"/>
      <c r="AD960" s="1" t="s">
        <v>149</v>
      </c>
      <c r="AE960" s="1"/>
      <c r="AF960" s="1">
        <v>-60.142498</v>
      </c>
      <c r="AG960" s="1">
        <v>-3.061111</v>
      </c>
      <c r="AH960" s="1" t="s">
        <v>982</v>
      </c>
      <c r="AI960" s="1"/>
      <c r="AJ960" s="1" t="s">
        <v>172</v>
      </c>
      <c r="AK960" s="1"/>
      <c r="AL960" s="1"/>
      <c r="AM960" s="1" t="s">
        <v>65</v>
      </c>
      <c r="AN960" s="1" t="s">
        <v>983</v>
      </c>
      <c r="AO960" s="1"/>
      <c r="AP960" s="2">
        <v>44008.7453472222</v>
      </c>
      <c r="AQ960" s="1"/>
      <c r="AR960" s="1" t="s">
        <v>984</v>
      </c>
      <c r="AS960" s="1" t="s">
        <v>2383</v>
      </c>
      <c r="AT960" s="2">
        <v>44269.931099537</v>
      </c>
    </row>
    <row r="961" ht="13.5" customHeight="1">
      <c r="A961" s="1"/>
      <c r="B961" s="1" t="s">
        <v>46</v>
      </c>
      <c r="C961" s="1" t="s">
        <v>47</v>
      </c>
      <c r="D961" s="1"/>
      <c r="E961" s="1" t="s">
        <v>4127</v>
      </c>
      <c r="F961" s="1"/>
      <c r="G961" s="1" t="s">
        <v>49</v>
      </c>
      <c r="H961" s="1" t="s">
        <v>93</v>
      </c>
      <c r="I961" s="1">
        <v>30000.0</v>
      </c>
      <c r="J961" s="1"/>
      <c r="K961" s="1"/>
      <c r="L961" s="1"/>
      <c r="M961" s="1" t="s">
        <v>4128</v>
      </c>
      <c r="N961" s="1" t="s">
        <v>142</v>
      </c>
      <c r="O961" s="1" t="s">
        <v>143</v>
      </c>
      <c r="P961" s="2">
        <v>43797.511412037</v>
      </c>
      <c r="Q961" s="1" t="s">
        <v>55</v>
      </c>
      <c r="R961" s="1"/>
      <c r="S961" s="1"/>
      <c r="T961" s="1">
        <v>1100320.0</v>
      </c>
      <c r="U961" s="1" t="s">
        <v>1851</v>
      </c>
      <c r="V961" s="1" t="s">
        <v>448</v>
      </c>
      <c r="W961" s="1" t="s">
        <v>177</v>
      </c>
      <c r="X961" s="1"/>
      <c r="Y961" s="1"/>
      <c r="Z961" s="1" t="s">
        <v>147</v>
      </c>
      <c r="AA961" s="1" t="s">
        <v>4129</v>
      </c>
      <c r="AB961" s="1" t="str">
        <f>"***387302**"</f>
        <v>***387302**</v>
      </c>
      <c r="AC961" s="1"/>
      <c r="AD961" s="1" t="s">
        <v>116</v>
      </c>
      <c r="AE961" s="1"/>
      <c r="AF961" s="1">
        <v>-62.68</v>
      </c>
      <c r="AG961" s="1">
        <v>-11.645834</v>
      </c>
      <c r="AH961" s="1" t="s">
        <v>4130</v>
      </c>
      <c r="AI961" s="1"/>
      <c r="AJ961" s="1" t="s">
        <v>172</v>
      </c>
      <c r="AK961" s="1"/>
      <c r="AL961" s="1"/>
      <c r="AM961" s="1" t="s">
        <v>65</v>
      </c>
      <c r="AN961" s="1" t="s">
        <v>1395</v>
      </c>
      <c r="AO961" s="1"/>
      <c r="AP961" s="2">
        <v>43797.5229398148</v>
      </c>
      <c r="AQ961" s="1"/>
      <c r="AR961" s="1" t="s">
        <v>871</v>
      </c>
      <c r="AS961" s="1"/>
      <c r="AT961" s="2">
        <v>44269.931099537</v>
      </c>
    </row>
    <row r="962" ht="13.5" customHeight="1">
      <c r="A962" s="1"/>
      <c r="B962" s="1" t="s">
        <v>46</v>
      </c>
      <c r="C962" s="1" t="s">
        <v>47</v>
      </c>
      <c r="D962" s="1"/>
      <c r="E962" s="1" t="s">
        <v>4131</v>
      </c>
      <c r="F962" s="1"/>
      <c r="G962" s="1" t="s">
        <v>49</v>
      </c>
      <c r="H962" s="1" t="s">
        <v>50</v>
      </c>
      <c r="I962" s="1">
        <v>7000.0</v>
      </c>
      <c r="J962" s="1"/>
      <c r="K962" s="1" t="s">
        <v>51</v>
      </c>
      <c r="L962" s="1"/>
      <c r="M962" s="1" t="s">
        <v>4132</v>
      </c>
      <c r="N962" s="1" t="s">
        <v>977</v>
      </c>
      <c r="O962" s="1" t="s">
        <v>978</v>
      </c>
      <c r="P962" s="2">
        <v>43797.5015162037</v>
      </c>
      <c r="Q962" s="1" t="s">
        <v>74</v>
      </c>
      <c r="R962" s="1"/>
      <c r="S962" s="1"/>
      <c r="T962" s="1">
        <v>3302403.0</v>
      </c>
      <c r="U962" s="1" t="s">
        <v>1371</v>
      </c>
      <c r="V962" s="1" t="s">
        <v>287</v>
      </c>
      <c r="W962" s="1" t="s">
        <v>288</v>
      </c>
      <c r="X962" s="1"/>
      <c r="Y962" s="1"/>
      <c r="Z962" s="1" t="s">
        <v>980</v>
      </c>
      <c r="AA962" s="1" t="s">
        <v>4133</v>
      </c>
      <c r="AB962" s="1" t="str">
        <f>"02135974000108"</f>
        <v>02135974000108</v>
      </c>
      <c r="AC962" s="1"/>
      <c r="AD962" s="1" t="s">
        <v>149</v>
      </c>
      <c r="AE962" s="1"/>
      <c r="AF962" s="1">
        <v>-41.776669</v>
      </c>
      <c r="AG962" s="1">
        <v>-22.389444</v>
      </c>
      <c r="AH962" s="1" t="s">
        <v>982</v>
      </c>
      <c r="AI962" s="1"/>
      <c r="AJ962" s="1" t="s">
        <v>172</v>
      </c>
      <c r="AK962" s="1"/>
      <c r="AL962" s="1"/>
      <c r="AM962" s="1" t="s">
        <v>65</v>
      </c>
      <c r="AN962" s="1" t="s">
        <v>983</v>
      </c>
      <c r="AO962" s="1"/>
      <c r="AP962" s="2">
        <v>44008.7454976852</v>
      </c>
      <c r="AQ962" s="1"/>
      <c r="AR962" s="1" t="s">
        <v>984</v>
      </c>
      <c r="AS962" s="1" t="s">
        <v>4134</v>
      </c>
      <c r="AT962" s="2">
        <v>44269.931099537</v>
      </c>
    </row>
    <row r="963" ht="13.5" customHeight="1">
      <c r="A963" s="1"/>
      <c r="B963" s="1" t="s">
        <v>46</v>
      </c>
      <c r="C963" s="1" t="s">
        <v>47</v>
      </c>
      <c r="D963" s="1"/>
      <c r="E963" s="1" t="s">
        <v>4135</v>
      </c>
      <c r="F963" s="1"/>
      <c r="G963" s="1" t="s">
        <v>49</v>
      </c>
      <c r="H963" s="1" t="s">
        <v>93</v>
      </c>
      <c r="I963" s="1">
        <v>405000.0</v>
      </c>
      <c r="J963" s="1"/>
      <c r="K963" s="1" t="s">
        <v>51</v>
      </c>
      <c r="L963" s="1"/>
      <c r="M963" s="1" t="s">
        <v>2670</v>
      </c>
      <c r="N963" s="1" t="s">
        <v>977</v>
      </c>
      <c r="O963" s="1" t="s">
        <v>978</v>
      </c>
      <c r="P963" s="2">
        <v>43797.4824652778</v>
      </c>
      <c r="Q963" s="1" t="s">
        <v>74</v>
      </c>
      <c r="R963" s="1"/>
      <c r="S963" s="1"/>
      <c r="T963" s="1">
        <v>3515004.0</v>
      </c>
      <c r="U963" s="1" t="s">
        <v>3530</v>
      </c>
      <c r="V963" s="1" t="s">
        <v>58</v>
      </c>
      <c r="W963" s="1" t="s">
        <v>59</v>
      </c>
      <c r="X963" s="1"/>
      <c r="Y963" s="1"/>
      <c r="Z963" s="1" t="s">
        <v>980</v>
      </c>
      <c r="AA963" s="1" t="s">
        <v>4136</v>
      </c>
      <c r="AB963" s="1" t="str">
        <f>"08425051000177"</f>
        <v>08425051000177</v>
      </c>
      <c r="AC963" s="1"/>
      <c r="AD963" s="1" t="s">
        <v>149</v>
      </c>
      <c r="AE963" s="1"/>
      <c r="AF963" s="1">
        <v>-46.976109</v>
      </c>
      <c r="AG963" s="1">
        <v>-23.76</v>
      </c>
      <c r="AH963" s="1" t="s">
        <v>2925</v>
      </c>
      <c r="AI963" s="1"/>
      <c r="AJ963" s="1" t="s">
        <v>172</v>
      </c>
      <c r="AK963" s="1"/>
      <c r="AL963" s="1"/>
      <c r="AM963" s="1" t="s">
        <v>65</v>
      </c>
      <c r="AN963" s="1" t="s">
        <v>983</v>
      </c>
      <c r="AO963" s="1"/>
      <c r="AP963" s="2">
        <v>43992.5417013889</v>
      </c>
      <c r="AQ963" s="1"/>
      <c r="AR963" s="1" t="s">
        <v>229</v>
      </c>
      <c r="AS963" s="1" t="s">
        <v>3603</v>
      </c>
      <c r="AT963" s="2">
        <v>44269.931099537</v>
      </c>
    </row>
    <row r="964" ht="13.5" customHeight="1">
      <c r="A964" s="1">
        <v>2035893.0</v>
      </c>
      <c r="B964" s="1" t="s">
        <v>67</v>
      </c>
      <c r="C964" s="1" t="s">
        <v>68</v>
      </c>
      <c r="D964" s="1" t="s">
        <v>46</v>
      </c>
      <c r="E964" s="1" t="s">
        <v>4137</v>
      </c>
      <c r="F964" s="1"/>
      <c r="G964" s="1" t="s">
        <v>70</v>
      </c>
      <c r="H964" s="1" t="s">
        <v>93</v>
      </c>
      <c r="I964" s="1">
        <v>55000.0</v>
      </c>
      <c r="J964" s="1"/>
      <c r="K964" s="1"/>
      <c r="L964" s="1" t="s">
        <v>196</v>
      </c>
      <c r="M964" s="1" t="s">
        <v>4138</v>
      </c>
      <c r="N964" s="1" t="s">
        <v>142</v>
      </c>
      <c r="O964" s="1" t="s">
        <v>143</v>
      </c>
      <c r="P964" s="2">
        <v>43797.4583333333</v>
      </c>
      <c r="Q964" s="1" t="s">
        <v>373</v>
      </c>
      <c r="R964" s="3">
        <v>43797.0</v>
      </c>
      <c r="S964" s="1"/>
      <c r="T964" s="1">
        <v>1505809.0</v>
      </c>
      <c r="U964" s="1" t="s">
        <v>3084</v>
      </c>
      <c r="V964" s="1" t="s">
        <v>193</v>
      </c>
      <c r="W964" s="1" t="s">
        <v>177</v>
      </c>
      <c r="X964" s="1"/>
      <c r="Y964" s="1" t="str">
        <f>"02018001943202048"</f>
        <v>02018001943202048</v>
      </c>
      <c r="Z964" s="1" t="s">
        <v>147</v>
      </c>
      <c r="AA964" s="1" t="s">
        <v>4139</v>
      </c>
      <c r="AB964" s="1" t="str">
        <f>"***796862**"</f>
        <v>***796862**</v>
      </c>
      <c r="AC964" s="1"/>
      <c r="AD964" s="1"/>
      <c r="AE964" s="1"/>
      <c r="AF964" s="1">
        <v>-50.413891</v>
      </c>
      <c r="AG964" s="1">
        <v>-3.332778</v>
      </c>
      <c r="AH964" s="1" t="s">
        <v>4140</v>
      </c>
      <c r="AI964" s="1"/>
      <c r="AJ964" s="1" t="s">
        <v>196</v>
      </c>
      <c r="AK964" s="1"/>
      <c r="AL964" s="1" t="s">
        <v>79</v>
      </c>
      <c r="AM964" s="1" t="s">
        <v>65</v>
      </c>
      <c r="AN964" s="1" t="s">
        <v>3087</v>
      </c>
      <c r="AO964" s="2">
        <v>43922.0</v>
      </c>
      <c r="AP964" s="2">
        <v>43922.8084837963</v>
      </c>
      <c r="AQ964" s="1" t="s">
        <v>80</v>
      </c>
      <c r="AR964" s="1" t="s">
        <v>421</v>
      </c>
      <c r="AS964" s="1"/>
      <c r="AT964" s="2">
        <v>44269.931099537</v>
      </c>
    </row>
    <row r="965" ht="13.5" customHeight="1">
      <c r="A965" s="1"/>
      <c r="B965" s="1" t="s">
        <v>46</v>
      </c>
      <c r="C965" s="1" t="s">
        <v>47</v>
      </c>
      <c r="D965" s="1"/>
      <c r="E965" s="1" t="s">
        <v>4141</v>
      </c>
      <c r="F965" s="1"/>
      <c r="G965" s="1" t="s">
        <v>49</v>
      </c>
      <c r="H965" s="1" t="s">
        <v>93</v>
      </c>
      <c r="I965" s="1">
        <v>5000.0</v>
      </c>
      <c r="J965" s="1"/>
      <c r="K965" s="1"/>
      <c r="L965" s="1"/>
      <c r="M965" s="1" t="s">
        <v>4142</v>
      </c>
      <c r="N965" s="1" t="s">
        <v>142</v>
      </c>
      <c r="O965" s="1" t="s">
        <v>143</v>
      </c>
      <c r="P965" s="2">
        <v>43797.4168865741</v>
      </c>
      <c r="Q965" s="1" t="s">
        <v>373</v>
      </c>
      <c r="R965" s="1"/>
      <c r="S965" s="1"/>
      <c r="T965" s="1">
        <v>5205109.0</v>
      </c>
      <c r="U965" s="1" t="s">
        <v>4143</v>
      </c>
      <c r="V965" s="1" t="s">
        <v>375</v>
      </c>
      <c r="W965" s="1" t="s">
        <v>127</v>
      </c>
      <c r="X965" s="1"/>
      <c r="Y965" s="1"/>
      <c r="Z965" s="1" t="s">
        <v>147</v>
      </c>
      <c r="AA965" s="1" t="s">
        <v>4144</v>
      </c>
      <c r="AB965" s="1" t="str">
        <f>"***859191**"</f>
        <v>***859191**</v>
      </c>
      <c r="AC965" s="1"/>
      <c r="AD965" s="1" t="s">
        <v>116</v>
      </c>
      <c r="AE965" s="1"/>
      <c r="AF965" s="1">
        <v>-47.658611</v>
      </c>
      <c r="AG965" s="1">
        <v>-17.885</v>
      </c>
      <c r="AH965" s="1" t="s">
        <v>4145</v>
      </c>
      <c r="AI965" s="1"/>
      <c r="AJ965" s="1" t="s">
        <v>244</v>
      </c>
      <c r="AK965" s="1"/>
      <c r="AL965" s="1"/>
      <c r="AM965" s="1" t="s">
        <v>65</v>
      </c>
      <c r="AN965" s="1" t="s">
        <v>432</v>
      </c>
      <c r="AO965" s="1"/>
      <c r="AP965" s="2">
        <v>43797.4217476852</v>
      </c>
      <c r="AQ965" s="1"/>
      <c r="AR965" s="1" t="s">
        <v>159</v>
      </c>
      <c r="AS965" s="1"/>
      <c r="AT965" s="2">
        <v>44269.931099537</v>
      </c>
    </row>
    <row r="966" ht="13.5" customHeight="1">
      <c r="A966" s="1">
        <v>2035194.0</v>
      </c>
      <c r="B966" s="1" t="s">
        <v>67</v>
      </c>
      <c r="C966" s="1" t="s">
        <v>68</v>
      </c>
      <c r="D966" s="1" t="s">
        <v>46</v>
      </c>
      <c r="E966" s="1" t="s">
        <v>4146</v>
      </c>
      <c r="F966" s="1"/>
      <c r="G966" s="1" t="s">
        <v>70</v>
      </c>
      <c r="H966" s="1" t="s">
        <v>93</v>
      </c>
      <c r="I966" s="1">
        <v>380000.0</v>
      </c>
      <c r="J966" s="1"/>
      <c r="K966" s="1"/>
      <c r="L966" s="1" t="s">
        <v>196</v>
      </c>
      <c r="M966" s="1" t="s">
        <v>4147</v>
      </c>
      <c r="N966" s="1" t="s">
        <v>142</v>
      </c>
      <c r="O966" s="1" t="s">
        <v>143</v>
      </c>
      <c r="P966" s="2">
        <v>43797.4166666667</v>
      </c>
      <c r="Q966" s="1" t="s">
        <v>373</v>
      </c>
      <c r="R966" s="3">
        <v>43797.0</v>
      </c>
      <c r="S966" s="1"/>
      <c r="T966" s="1">
        <v>1505809.0</v>
      </c>
      <c r="U966" s="1" t="s">
        <v>3084</v>
      </c>
      <c r="V966" s="1" t="s">
        <v>193</v>
      </c>
      <c r="W966" s="1" t="s">
        <v>177</v>
      </c>
      <c r="X966" s="1"/>
      <c r="Y966" s="1" t="str">
        <f>"02018001475202010"</f>
        <v>02018001475202010</v>
      </c>
      <c r="Z966" s="1" t="s">
        <v>147</v>
      </c>
      <c r="AA966" s="1" t="s">
        <v>4030</v>
      </c>
      <c r="AB966" s="1" t="str">
        <f>"***852042**"</f>
        <v>***852042**</v>
      </c>
      <c r="AC966" s="1"/>
      <c r="AD966" s="1"/>
      <c r="AE966" s="1"/>
      <c r="AF966" s="1">
        <v>-50.418056</v>
      </c>
      <c r="AG966" s="1">
        <v>-3.314444</v>
      </c>
      <c r="AH966" s="1" t="s">
        <v>4148</v>
      </c>
      <c r="AI966" s="1"/>
      <c r="AJ966" s="1" t="s">
        <v>196</v>
      </c>
      <c r="AK966" s="1"/>
      <c r="AL966" s="1" t="s">
        <v>79</v>
      </c>
      <c r="AM966" s="1" t="s">
        <v>65</v>
      </c>
      <c r="AN966" s="1" t="s">
        <v>3087</v>
      </c>
      <c r="AO966" s="2">
        <v>43896.0</v>
      </c>
      <c r="AP966" s="2">
        <v>43896.5663078704</v>
      </c>
      <c r="AQ966" s="1" t="s">
        <v>80</v>
      </c>
      <c r="AR966" s="1" t="s">
        <v>421</v>
      </c>
      <c r="AS966" s="1"/>
      <c r="AT966" s="2">
        <v>44269.931099537</v>
      </c>
    </row>
    <row r="967" ht="13.5" customHeight="1">
      <c r="A967" s="1"/>
      <c r="B967" s="1" t="s">
        <v>46</v>
      </c>
      <c r="C967" s="1" t="s">
        <v>47</v>
      </c>
      <c r="D967" s="1"/>
      <c r="E967" s="1" t="s">
        <v>4149</v>
      </c>
      <c r="F967" s="1"/>
      <c r="G967" s="1" t="s">
        <v>49</v>
      </c>
      <c r="H967" s="1" t="s">
        <v>50</v>
      </c>
      <c r="I967" s="1">
        <v>45000.0</v>
      </c>
      <c r="J967" s="1"/>
      <c r="K967" s="1" t="s">
        <v>51</v>
      </c>
      <c r="L967" s="1"/>
      <c r="M967" s="1" t="s">
        <v>4150</v>
      </c>
      <c r="N967" s="1" t="s">
        <v>977</v>
      </c>
      <c r="O967" s="1" t="s">
        <v>978</v>
      </c>
      <c r="P967" s="2">
        <v>43797.4158912037</v>
      </c>
      <c r="Q967" s="1" t="s">
        <v>74</v>
      </c>
      <c r="R967" s="1"/>
      <c r="S967" s="1"/>
      <c r="T967" s="1">
        <v>3550308.0</v>
      </c>
      <c r="U967" s="1" t="s">
        <v>607</v>
      </c>
      <c r="V967" s="1" t="s">
        <v>58</v>
      </c>
      <c r="W967" s="1" t="s">
        <v>59</v>
      </c>
      <c r="X967" s="1"/>
      <c r="Y967" s="1"/>
      <c r="Z967" s="1" t="s">
        <v>980</v>
      </c>
      <c r="AA967" s="1" t="s">
        <v>2702</v>
      </c>
      <c r="AB967" s="1" t="str">
        <f>"17148509000189"</f>
        <v>17148509000189</v>
      </c>
      <c r="AC967" s="1"/>
      <c r="AD967" s="1" t="s">
        <v>149</v>
      </c>
      <c r="AE967" s="1"/>
      <c r="AF967" s="1">
        <v>-46.864166</v>
      </c>
      <c r="AG967" s="1">
        <v>-23.651945</v>
      </c>
      <c r="AH967" s="1" t="s">
        <v>982</v>
      </c>
      <c r="AI967" s="1"/>
      <c r="AJ967" s="1" t="s">
        <v>172</v>
      </c>
      <c r="AK967" s="1"/>
      <c r="AL967" s="1"/>
      <c r="AM967" s="1" t="s">
        <v>65</v>
      </c>
      <c r="AN967" s="1" t="s">
        <v>983</v>
      </c>
      <c r="AO967" s="1"/>
      <c r="AP967" s="2">
        <v>44008.7456018519</v>
      </c>
      <c r="AQ967" s="1"/>
      <c r="AR967" s="1" t="s">
        <v>984</v>
      </c>
      <c r="AS967" s="1" t="s">
        <v>4086</v>
      </c>
      <c r="AT967" s="2">
        <v>44269.931099537</v>
      </c>
    </row>
    <row r="968" ht="13.5" customHeight="1">
      <c r="A968" s="1"/>
      <c r="B968" s="1" t="s">
        <v>46</v>
      </c>
      <c r="C968" s="1" t="s">
        <v>47</v>
      </c>
      <c r="D968" s="1"/>
      <c r="E968" s="1" t="s">
        <v>4151</v>
      </c>
      <c r="F968" s="1"/>
      <c r="G968" s="1" t="s">
        <v>49</v>
      </c>
      <c r="H968" s="1" t="s">
        <v>93</v>
      </c>
      <c r="I968" s="1">
        <v>138050.0</v>
      </c>
      <c r="J968" s="1"/>
      <c r="K968" s="1"/>
      <c r="L968" s="1"/>
      <c r="M968" s="1" t="s">
        <v>4152</v>
      </c>
      <c r="N968" s="1" t="s">
        <v>142</v>
      </c>
      <c r="O968" s="1" t="s">
        <v>143</v>
      </c>
      <c r="P968" s="2">
        <v>43797.4018518519</v>
      </c>
      <c r="Q968" s="1" t="s">
        <v>373</v>
      </c>
      <c r="R968" s="1"/>
      <c r="S968" s="1"/>
      <c r="T968" s="1">
        <v>5205109.0</v>
      </c>
      <c r="U968" s="1" t="s">
        <v>4143</v>
      </c>
      <c r="V968" s="1" t="s">
        <v>375</v>
      </c>
      <c r="W968" s="1" t="s">
        <v>127</v>
      </c>
      <c r="X968" s="1"/>
      <c r="Y968" s="1"/>
      <c r="Z968" s="1" t="s">
        <v>147</v>
      </c>
      <c r="AA968" s="1" t="s">
        <v>4153</v>
      </c>
      <c r="AB968" s="1" t="str">
        <f>"***926621**"</f>
        <v>***926621**</v>
      </c>
      <c r="AC968" s="1"/>
      <c r="AD968" s="1" t="s">
        <v>116</v>
      </c>
      <c r="AE968" s="1"/>
      <c r="AF968" s="1">
        <v>-47.661667</v>
      </c>
      <c r="AG968" s="1">
        <v>-18.021389</v>
      </c>
      <c r="AH968" s="1" t="s">
        <v>4154</v>
      </c>
      <c r="AI968" s="1"/>
      <c r="AJ968" s="1" t="s">
        <v>244</v>
      </c>
      <c r="AK968" s="1"/>
      <c r="AL968" s="1"/>
      <c r="AM968" s="1" t="s">
        <v>65</v>
      </c>
      <c r="AN968" s="1" t="s">
        <v>432</v>
      </c>
      <c r="AO968" s="1"/>
      <c r="AP968" s="2">
        <v>43797.4084953704</v>
      </c>
      <c r="AQ968" s="1"/>
      <c r="AR968" s="1" t="s">
        <v>159</v>
      </c>
      <c r="AS968" s="1"/>
      <c r="AT968" s="2">
        <v>44269.931099537</v>
      </c>
    </row>
    <row r="969" ht="13.5" customHeight="1">
      <c r="A969" s="1"/>
      <c r="B969" s="1" t="s">
        <v>46</v>
      </c>
      <c r="C969" s="1" t="s">
        <v>47</v>
      </c>
      <c r="D969" s="1"/>
      <c r="E969" s="1" t="s">
        <v>4155</v>
      </c>
      <c r="F969" s="1"/>
      <c r="G969" s="1" t="s">
        <v>49</v>
      </c>
      <c r="H969" s="1" t="s">
        <v>93</v>
      </c>
      <c r="I969" s="1">
        <v>2000.0</v>
      </c>
      <c r="J969" s="1"/>
      <c r="K969" s="1"/>
      <c r="L969" s="1"/>
      <c r="M969" s="1" t="s">
        <v>4156</v>
      </c>
      <c r="N969" s="1" t="s">
        <v>53</v>
      </c>
      <c r="O969" s="1" t="s">
        <v>54</v>
      </c>
      <c r="P969" s="2">
        <v>43797.4007986111</v>
      </c>
      <c r="Q969" s="1" t="s">
        <v>373</v>
      </c>
      <c r="R969" s="1"/>
      <c r="S969" s="1"/>
      <c r="T969" s="1">
        <v>2607604.0</v>
      </c>
      <c r="U969" s="1" t="s">
        <v>4157</v>
      </c>
      <c r="V969" s="1" t="s">
        <v>1037</v>
      </c>
      <c r="W969" s="1" t="s">
        <v>288</v>
      </c>
      <c r="X969" s="1"/>
      <c r="Y969" s="1"/>
      <c r="Z969" s="1" t="s">
        <v>60</v>
      </c>
      <c r="AA969" s="1" t="s">
        <v>4158</v>
      </c>
      <c r="AB969" s="1" t="str">
        <f>"***423604**"</f>
        <v>***423604**</v>
      </c>
      <c r="AC969" s="1"/>
      <c r="AD969" s="1" t="s">
        <v>62</v>
      </c>
      <c r="AE969" s="1"/>
      <c r="AF969" s="1">
        <v>-34.824722</v>
      </c>
      <c r="AG969" s="1">
        <v>-7.746667</v>
      </c>
      <c r="AH969" s="1" t="s">
        <v>4159</v>
      </c>
      <c r="AI969" s="1"/>
      <c r="AJ969" s="1" t="s">
        <v>172</v>
      </c>
      <c r="AK969" s="1"/>
      <c r="AL969" s="1"/>
      <c r="AM969" s="1" t="s">
        <v>65</v>
      </c>
      <c r="AN969" s="1" t="s">
        <v>2722</v>
      </c>
      <c r="AO969" s="1"/>
      <c r="AP969" s="2">
        <v>44260.5466435185</v>
      </c>
      <c r="AQ969" s="1"/>
      <c r="AR969" s="1" t="s">
        <v>989</v>
      </c>
      <c r="AS969" s="1"/>
      <c r="AT969" s="2">
        <v>44269.931099537</v>
      </c>
    </row>
    <row r="970" ht="13.5" customHeight="1">
      <c r="A970" s="1"/>
      <c r="B970" s="1" t="s">
        <v>46</v>
      </c>
      <c r="C970" s="1" t="s">
        <v>47</v>
      </c>
      <c r="D970" s="1"/>
      <c r="E970" s="1" t="s">
        <v>4160</v>
      </c>
      <c r="F970" s="1"/>
      <c r="G970" s="1" t="s">
        <v>49</v>
      </c>
      <c r="H970" s="1" t="s">
        <v>50</v>
      </c>
      <c r="I970" s="1">
        <v>138400.0</v>
      </c>
      <c r="J970" s="1"/>
      <c r="K970" s="1" t="s">
        <v>140</v>
      </c>
      <c r="L970" s="1"/>
      <c r="M970" s="1" t="s">
        <v>4161</v>
      </c>
      <c r="N970" s="1" t="s">
        <v>142</v>
      </c>
      <c r="O970" s="1" t="s">
        <v>143</v>
      </c>
      <c r="P970" s="2">
        <v>43797.3780092593</v>
      </c>
      <c r="Q970" s="1" t="s">
        <v>373</v>
      </c>
      <c r="R970" s="1"/>
      <c r="S970" s="1"/>
      <c r="T970" s="1">
        <v>5205109.0</v>
      </c>
      <c r="U970" s="1" t="s">
        <v>4143</v>
      </c>
      <c r="V970" s="1" t="s">
        <v>375</v>
      </c>
      <c r="W970" s="1" t="s">
        <v>127</v>
      </c>
      <c r="X970" s="1"/>
      <c r="Y970" s="1"/>
      <c r="Z970" s="1" t="s">
        <v>147</v>
      </c>
      <c r="AA970" s="1" t="s">
        <v>4162</v>
      </c>
      <c r="AB970" s="1" t="str">
        <f>"***795101**"</f>
        <v>***795101**</v>
      </c>
      <c r="AC970" s="1"/>
      <c r="AD970" s="1" t="s">
        <v>2103</v>
      </c>
      <c r="AE970" s="1"/>
      <c r="AF970" s="1">
        <v>-47.701946</v>
      </c>
      <c r="AG970" s="1">
        <v>-17.906944</v>
      </c>
      <c r="AH970" s="1" t="s">
        <v>4163</v>
      </c>
      <c r="AI970" s="1"/>
      <c r="AJ970" s="1" t="s">
        <v>244</v>
      </c>
      <c r="AK970" s="1"/>
      <c r="AL970" s="1"/>
      <c r="AM970" s="1" t="s">
        <v>65</v>
      </c>
      <c r="AN970" s="1" t="s">
        <v>432</v>
      </c>
      <c r="AO970" s="1"/>
      <c r="AP970" s="2">
        <v>43797.3959722222</v>
      </c>
      <c r="AQ970" s="1"/>
      <c r="AR970" s="1" t="s">
        <v>4164</v>
      </c>
      <c r="AS970" s="1"/>
      <c r="AT970" s="2">
        <v>44269.931099537</v>
      </c>
    </row>
    <row r="971" ht="13.5" customHeight="1">
      <c r="A971" s="1">
        <v>2038797.0</v>
      </c>
      <c r="B971" s="1" t="s">
        <v>67</v>
      </c>
      <c r="C971" s="1" t="s">
        <v>68</v>
      </c>
      <c r="D971" s="1" t="s">
        <v>46</v>
      </c>
      <c r="E971" s="1" t="s">
        <v>4165</v>
      </c>
      <c r="F971" s="1"/>
      <c r="G971" s="1" t="s">
        <v>70</v>
      </c>
      <c r="H971" s="1" t="s">
        <v>93</v>
      </c>
      <c r="I971" s="1">
        <v>9000.0</v>
      </c>
      <c r="J971" s="1"/>
      <c r="K971" s="1"/>
      <c r="L971" s="1" t="s">
        <v>587</v>
      </c>
      <c r="M971" s="1" t="s">
        <v>4166</v>
      </c>
      <c r="N971" s="1" t="s">
        <v>95</v>
      </c>
      <c r="O971" s="1" t="s">
        <v>96</v>
      </c>
      <c r="P971" s="2">
        <v>43797.375</v>
      </c>
      <c r="Q971" s="1" t="s">
        <v>373</v>
      </c>
      <c r="R971" s="3">
        <v>43797.0</v>
      </c>
      <c r="S971" s="1"/>
      <c r="T971" s="1">
        <v>3141801.0</v>
      </c>
      <c r="U971" s="1" t="s">
        <v>680</v>
      </c>
      <c r="V971" s="1" t="s">
        <v>126</v>
      </c>
      <c r="W971" s="1" t="s">
        <v>127</v>
      </c>
      <c r="X971" s="1"/>
      <c r="Y971" s="1" t="str">
        <f>"02566000441201950"</f>
        <v>02566000441201950</v>
      </c>
      <c r="Z971" s="1" t="s">
        <v>98</v>
      </c>
      <c r="AA971" s="1" t="s">
        <v>4167</v>
      </c>
      <c r="AB971" s="1" t="str">
        <f>"***227886**"</f>
        <v>***227886**</v>
      </c>
      <c r="AC971" s="1"/>
      <c r="AD971" s="1"/>
      <c r="AE971" s="1"/>
      <c r="AF971" s="1">
        <v>-42.611942</v>
      </c>
      <c r="AG971" s="1">
        <v>-17.158054</v>
      </c>
      <c r="AH971" s="1" t="s">
        <v>4168</v>
      </c>
      <c r="AI971" s="1"/>
      <c r="AJ971" s="1" t="s">
        <v>587</v>
      </c>
      <c r="AK971" s="1"/>
      <c r="AL971" s="1" t="s">
        <v>79</v>
      </c>
      <c r="AM971" s="1" t="s">
        <v>65</v>
      </c>
      <c r="AN971" s="1" t="s">
        <v>592</v>
      </c>
      <c r="AO971" s="2">
        <v>44046.0</v>
      </c>
      <c r="AP971" s="2">
        <v>44046.6704398148</v>
      </c>
      <c r="AQ971" s="1" t="s">
        <v>80</v>
      </c>
      <c r="AR971" s="1" t="s">
        <v>4169</v>
      </c>
      <c r="AS971" s="1"/>
      <c r="AT971" s="2">
        <v>44269.931099537</v>
      </c>
    </row>
    <row r="972" ht="13.5" customHeight="1">
      <c r="A972" s="1">
        <v>2042382.0</v>
      </c>
      <c r="B972" s="1" t="s">
        <v>67</v>
      </c>
      <c r="C972" s="1" t="s">
        <v>68</v>
      </c>
      <c r="D972" s="1" t="s">
        <v>46</v>
      </c>
      <c r="E972" s="1" t="s">
        <v>4170</v>
      </c>
      <c r="F972" s="1"/>
      <c r="G972" s="1" t="s">
        <v>70</v>
      </c>
      <c r="H972" s="1" t="s">
        <v>93</v>
      </c>
      <c r="I972" s="1">
        <v>15000.0</v>
      </c>
      <c r="J972" s="1"/>
      <c r="K972" s="1"/>
      <c r="L972" s="1" t="s">
        <v>898</v>
      </c>
      <c r="M972" s="1" t="s">
        <v>4171</v>
      </c>
      <c r="N972" s="1" t="s">
        <v>142</v>
      </c>
      <c r="O972" s="1" t="s">
        <v>143</v>
      </c>
      <c r="P972" s="2">
        <v>43797.375</v>
      </c>
      <c r="Q972" s="1" t="s">
        <v>74</v>
      </c>
      <c r="R972" s="3">
        <v>43796.0</v>
      </c>
      <c r="S972" s="1"/>
      <c r="T972" s="1">
        <v>2210607.0</v>
      </c>
      <c r="U972" s="1" t="s">
        <v>4172</v>
      </c>
      <c r="V972" s="1" t="s">
        <v>895</v>
      </c>
      <c r="W972" s="1" t="s">
        <v>113</v>
      </c>
      <c r="X972" s="1"/>
      <c r="Y972" s="1"/>
      <c r="Z972" s="1" t="s">
        <v>147</v>
      </c>
      <c r="AA972" s="1" t="s">
        <v>4173</v>
      </c>
      <c r="AB972" s="1" t="str">
        <f>"05753511000106"</f>
        <v>05753511000106</v>
      </c>
      <c r="AC972" s="1"/>
      <c r="AD972" s="1"/>
      <c r="AE972" s="1"/>
      <c r="AF972" s="1">
        <v>-42.784443</v>
      </c>
      <c r="AG972" s="1">
        <v>-5.065278</v>
      </c>
      <c r="AH972" s="1" t="s">
        <v>4174</v>
      </c>
      <c r="AI972" s="1"/>
      <c r="AJ972" s="1" t="s">
        <v>898</v>
      </c>
      <c r="AK972" s="1"/>
      <c r="AL972" s="1" t="s">
        <v>79</v>
      </c>
      <c r="AM972" s="1" t="s">
        <v>65</v>
      </c>
      <c r="AN972" s="1" t="s">
        <v>152</v>
      </c>
      <c r="AO972" s="2">
        <v>44194.0</v>
      </c>
      <c r="AP972" s="2">
        <v>44194.7859837963</v>
      </c>
      <c r="AQ972" s="1" t="s">
        <v>80</v>
      </c>
      <c r="AR972" s="1" t="s">
        <v>81</v>
      </c>
      <c r="AS972" s="1"/>
      <c r="AT972" s="2">
        <v>44269.931099537</v>
      </c>
    </row>
    <row r="973" ht="13.5" customHeight="1">
      <c r="A973" s="1">
        <v>2036130.0</v>
      </c>
      <c r="B973" s="1" t="s">
        <v>67</v>
      </c>
      <c r="C973" s="1" t="s">
        <v>68</v>
      </c>
      <c r="D973" s="1" t="s">
        <v>46</v>
      </c>
      <c r="E973" s="1" t="s">
        <v>4175</v>
      </c>
      <c r="F973" s="1"/>
      <c r="G973" s="1" t="s">
        <v>70</v>
      </c>
      <c r="H973" s="1" t="s">
        <v>50</v>
      </c>
      <c r="I973" s="1">
        <v>64200.0</v>
      </c>
      <c r="J973" s="1"/>
      <c r="K973" s="1"/>
      <c r="L973" s="1" t="s">
        <v>172</v>
      </c>
      <c r="M973" s="1" t="s">
        <v>4176</v>
      </c>
      <c r="N973" s="1" t="s">
        <v>53</v>
      </c>
      <c r="O973" s="1" t="s">
        <v>54</v>
      </c>
      <c r="P973" s="2">
        <v>43797.25</v>
      </c>
      <c r="Q973" s="1" t="s">
        <v>373</v>
      </c>
      <c r="R973" s="3">
        <v>43797.0</v>
      </c>
      <c r="S973" s="1"/>
      <c r="T973" s="1">
        <v>2306553.0</v>
      </c>
      <c r="U973" s="1" t="s">
        <v>2944</v>
      </c>
      <c r="V973" s="1" t="s">
        <v>112</v>
      </c>
      <c r="W973" s="1" t="s">
        <v>288</v>
      </c>
      <c r="X973" s="1"/>
      <c r="Y973" s="1" t="str">
        <f>"02001010083202012"</f>
        <v>02001010083202012</v>
      </c>
      <c r="Z973" s="1" t="s">
        <v>60</v>
      </c>
      <c r="AA973" s="1" t="s">
        <v>4177</v>
      </c>
      <c r="AB973" s="1" t="str">
        <f>"21759860000183"</f>
        <v>21759860000183</v>
      </c>
      <c r="AC973" s="1"/>
      <c r="AD973" s="1"/>
      <c r="AE973" s="1"/>
      <c r="AF973" s="1">
        <v>-39.901669</v>
      </c>
      <c r="AG973" s="1">
        <v>-2.926667</v>
      </c>
      <c r="AH973" s="1" t="s">
        <v>4178</v>
      </c>
      <c r="AI973" s="1"/>
      <c r="AJ973" s="1" t="s">
        <v>172</v>
      </c>
      <c r="AK973" s="1"/>
      <c r="AL973" s="1" t="s">
        <v>79</v>
      </c>
      <c r="AM973" s="1" t="s">
        <v>65</v>
      </c>
      <c r="AN973" s="1" t="s">
        <v>2722</v>
      </c>
      <c r="AO973" s="2">
        <v>43936.0</v>
      </c>
      <c r="AP973" s="2">
        <v>43936.7200462963</v>
      </c>
      <c r="AQ973" s="1" t="s">
        <v>80</v>
      </c>
      <c r="AR973" s="1" t="s">
        <v>577</v>
      </c>
      <c r="AS973" s="1" t="s">
        <v>4179</v>
      </c>
      <c r="AT973" s="2">
        <v>44269.931099537</v>
      </c>
    </row>
    <row r="974" ht="13.5" customHeight="1">
      <c r="A974" s="1"/>
      <c r="B974" s="1" t="s">
        <v>46</v>
      </c>
      <c r="C974" s="1" t="s">
        <v>47</v>
      </c>
      <c r="D974" s="1"/>
      <c r="E974" s="1" t="s">
        <v>4180</v>
      </c>
      <c r="F974" s="1"/>
      <c r="G974" s="1" t="s">
        <v>49</v>
      </c>
      <c r="H974" s="1" t="s">
        <v>50</v>
      </c>
      <c r="I974" s="1">
        <v>405000.0</v>
      </c>
      <c r="J974" s="1"/>
      <c r="K974" s="1" t="s">
        <v>51</v>
      </c>
      <c r="L974" s="1"/>
      <c r="M974" s="1" t="s">
        <v>4047</v>
      </c>
      <c r="N974" s="1" t="s">
        <v>977</v>
      </c>
      <c r="O974" s="1" t="s">
        <v>978</v>
      </c>
      <c r="P974" s="2">
        <v>43796.9523263889</v>
      </c>
      <c r="Q974" s="1" t="s">
        <v>74</v>
      </c>
      <c r="R974" s="1"/>
      <c r="S974" s="1"/>
      <c r="T974" s="1">
        <v>3538006.0</v>
      </c>
      <c r="U974" s="1" t="s">
        <v>4181</v>
      </c>
      <c r="V974" s="1" t="s">
        <v>58</v>
      </c>
      <c r="W974" s="1" t="s">
        <v>59</v>
      </c>
      <c r="X974" s="1"/>
      <c r="Y974" s="1"/>
      <c r="Z974" s="1" t="s">
        <v>980</v>
      </c>
      <c r="AA974" s="1" t="s">
        <v>4182</v>
      </c>
      <c r="AB974" s="1" t="str">
        <f>"71770689000181"</f>
        <v>71770689000181</v>
      </c>
      <c r="AC974" s="1"/>
      <c r="AD974" s="1" t="s">
        <v>149</v>
      </c>
      <c r="AE974" s="1"/>
      <c r="AF974" s="1">
        <v>-45.461666</v>
      </c>
      <c r="AG974" s="1">
        <v>-22.923889</v>
      </c>
      <c r="AH974" s="1" t="s">
        <v>4183</v>
      </c>
      <c r="AI974" s="1"/>
      <c r="AJ974" s="1" t="s">
        <v>172</v>
      </c>
      <c r="AK974" s="1"/>
      <c r="AL974" s="1"/>
      <c r="AM974" s="1" t="s">
        <v>65</v>
      </c>
      <c r="AN974" s="1" t="s">
        <v>983</v>
      </c>
      <c r="AO974" s="1"/>
      <c r="AP974" s="2">
        <v>44014.8132638889</v>
      </c>
      <c r="AQ974" s="1"/>
      <c r="AR974" s="1" t="s">
        <v>984</v>
      </c>
      <c r="AS974" s="1" t="s">
        <v>4086</v>
      </c>
      <c r="AT974" s="2">
        <v>44269.931099537</v>
      </c>
    </row>
    <row r="975" ht="13.5" customHeight="1">
      <c r="A975" s="1"/>
      <c r="B975" s="1" t="s">
        <v>46</v>
      </c>
      <c r="C975" s="1" t="s">
        <v>47</v>
      </c>
      <c r="D975" s="1"/>
      <c r="E975" s="1" t="s">
        <v>4184</v>
      </c>
      <c r="F975" s="1"/>
      <c r="G975" s="1" t="s">
        <v>49</v>
      </c>
      <c r="H975" s="1" t="s">
        <v>93</v>
      </c>
      <c r="I975" s="1">
        <v>13600.0</v>
      </c>
      <c r="J975" s="1"/>
      <c r="K975" s="1" t="s">
        <v>140</v>
      </c>
      <c r="L975" s="1"/>
      <c r="M975" s="1" t="s">
        <v>4185</v>
      </c>
      <c r="N975" s="1" t="s">
        <v>977</v>
      </c>
      <c r="O975" s="1" t="s">
        <v>978</v>
      </c>
      <c r="P975" s="2">
        <v>43796.9358217593</v>
      </c>
      <c r="Q975" s="1" t="s">
        <v>373</v>
      </c>
      <c r="R975" s="1"/>
      <c r="S975" s="1"/>
      <c r="T975" s="1">
        <v>1600709.0</v>
      </c>
      <c r="U975" s="1" t="s">
        <v>2174</v>
      </c>
      <c r="V975" s="1" t="s">
        <v>797</v>
      </c>
      <c r="W975" s="1" t="s">
        <v>127</v>
      </c>
      <c r="X975" s="1"/>
      <c r="Y975" s="1"/>
      <c r="Z975" s="1" t="s">
        <v>980</v>
      </c>
      <c r="AA975" s="1" t="s">
        <v>4186</v>
      </c>
      <c r="AB975" s="1" t="str">
        <f>"20370747000149"</f>
        <v>20370747000149</v>
      </c>
      <c r="AC975" s="1"/>
      <c r="AD975" s="1" t="s">
        <v>62</v>
      </c>
      <c r="AE975" s="1"/>
      <c r="AF975" s="1">
        <v>-50.824165</v>
      </c>
      <c r="AG975" s="1">
        <v>1.470278</v>
      </c>
      <c r="AH975" s="1" t="s">
        <v>4187</v>
      </c>
      <c r="AI975" s="1"/>
      <c r="AJ975" s="1" t="s">
        <v>800</v>
      </c>
      <c r="AK975" s="1"/>
      <c r="AL975" s="1"/>
      <c r="AM975" s="1" t="s">
        <v>65</v>
      </c>
      <c r="AN975" s="1" t="s">
        <v>3795</v>
      </c>
      <c r="AO975" s="1"/>
      <c r="AP975" s="2">
        <v>43797.05125</v>
      </c>
      <c r="AQ975" s="1"/>
      <c r="AR975" s="1" t="s">
        <v>1756</v>
      </c>
      <c r="AS975" s="1" t="s">
        <v>4188</v>
      </c>
      <c r="AT975" s="2">
        <v>44269.931099537</v>
      </c>
    </row>
    <row r="976" ht="13.5" customHeight="1">
      <c r="A976" s="1"/>
      <c r="B976" s="1" t="s">
        <v>46</v>
      </c>
      <c r="C976" s="1" t="s">
        <v>47</v>
      </c>
      <c r="D976" s="1"/>
      <c r="E976" s="1" t="s">
        <v>4189</v>
      </c>
      <c r="F976" s="1"/>
      <c r="G976" s="1" t="s">
        <v>49</v>
      </c>
      <c r="H976" s="1" t="s">
        <v>50</v>
      </c>
      <c r="I976" s="1">
        <v>45000.0</v>
      </c>
      <c r="J976" s="1"/>
      <c r="K976" s="1" t="s">
        <v>51</v>
      </c>
      <c r="L976" s="1"/>
      <c r="M976" s="1" t="s">
        <v>4047</v>
      </c>
      <c r="N976" s="1" t="s">
        <v>977</v>
      </c>
      <c r="O976" s="1" t="s">
        <v>978</v>
      </c>
      <c r="P976" s="2">
        <v>43796.920150463</v>
      </c>
      <c r="Q976" s="1" t="s">
        <v>74</v>
      </c>
      <c r="R976" s="1"/>
      <c r="S976" s="1"/>
      <c r="T976" s="1">
        <v>3556453.0</v>
      </c>
      <c r="U976" s="1" t="s">
        <v>2446</v>
      </c>
      <c r="V976" s="1" t="s">
        <v>58</v>
      </c>
      <c r="W976" s="1" t="s">
        <v>59</v>
      </c>
      <c r="X976" s="1"/>
      <c r="Y976" s="1"/>
      <c r="Z976" s="1" t="s">
        <v>980</v>
      </c>
      <c r="AA976" s="1" t="s">
        <v>4190</v>
      </c>
      <c r="AB976" s="1" t="str">
        <f>"57635260000150"</f>
        <v>57635260000150</v>
      </c>
      <c r="AC976" s="1"/>
      <c r="AD976" s="1" t="s">
        <v>149</v>
      </c>
      <c r="AE976" s="1"/>
      <c r="AF976" s="1">
        <v>-47.026112</v>
      </c>
      <c r="AG976" s="1">
        <v>-23.605556</v>
      </c>
      <c r="AH976" s="1" t="s">
        <v>4191</v>
      </c>
      <c r="AI976" s="1"/>
      <c r="AJ976" s="1" t="s">
        <v>172</v>
      </c>
      <c r="AK976" s="1"/>
      <c r="AL976" s="1"/>
      <c r="AM976" s="1" t="s">
        <v>65</v>
      </c>
      <c r="AN976" s="1" t="s">
        <v>983</v>
      </c>
      <c r="AO976" s="1"/>
      <c r="AP976" s="2">
        <v>44014.8133564815</v>
      </c>
      <c r="AQ976" s="1"/>
      <c r="AR976" s="1" t="s">
        <v>984</v>
      </c>
      <c r="AS976" s="1" t="s">
        <v>4086</v>
      </c>
      <c r="AT976" s="2">
        <v>44269.931099537</v>
      </c>
    </row>
    <row r="977" ht="13.5" customHeight="1">
      <c r="A977" s="1"/>
      <c r="B977" s="1" t="s">
        <v>46</v>
      </c>
      <c r="C977" s="1" t="s">
        <v>47</v>
      </c>
      <c r="D977" s="1"/>
      <c r="E977" s="1" t="s">
        <v>4192</v>
      </c>
      <c r="F977" s="1"/>
      <c r="G977" s="1" t="s">
        <v>49</v>
      </c>
      <c r="H977" s="1" t="s">
        <v>93</v>
      </c>
      <c r="I977" s="1">
        <v>67.23</v>
      </c>
      <c r="J977" s="1"/>
      <c r="K977" s="1"/>
      <c r="L977" s="1"/>
      <c r="M977" s="1" t="s">
        <v>4193</v>
      </c>
      <c r="N977" s="1" t="s">
        <v>142</v>
      </c>
      <c r="O977" s="1" t="s">
        <v>143</v>
      </c>
      <c r="P977" s="2">
        <v>43796.7571990741</v>
      </c>
      <c r="Q977" s="1" t="s">
        <v>373</v>
      </c>
      <c r="R977" s="1"/>
      <c r="S977" s="1"/>
      <c r="T977" s="1">
        <v>5006606.0</v>
      </c>
      <c r="U977" s="1" t="s">
        <v>4194</v>
      </c>
      <c r="V977" s="1" t="s">
        <v>529</v>
      </c>
      <c r="W977" s="1" t="s">
        <v>59</v>
      </c>
      <c r="X977" s="1"/>
      <c r="Y977" s="1"/>
      <c r="Z977" s="1" t="s">
        <v>147</v>
      </c>
      <c r="AA977" s="1" t="s">
        <v>4195</v>
      </c>
      <c r="AB977" s="1" t="str">
        <f>"***904669**"</f>
        <v>***904669**</v>
      </c>
      <c r="AC977" s="1"/>
      <c r="AD977" s="1" t="s">
        <v>62</v>
      </c>
      <c r="AE977" s="1"/>
      <c r="AF977" s="1">
        <v>-55.601944</v>
      </c>
      <c r="AG977" s="1">
        <v>-22.164999</v>
      </c>
      <c r="AH977" s="1" t="s">
        <v>4196</v>
      </c>
      <c r="AI977" s="1"/>
      <c r="AJ977" s="1" t="s">
        <v>533</v>
      </c>
      <c r="AK977" s="1"/>
      <c r="AL977" s="1"/>
      <c r="AM977" s="1" t="s">
        <v>65</v>
      </c>
      <c r="AN977" s="1" t="s">
        <v>4197</v>
      </c>
      <c r="AO977" s="1"/>
      <c r="AP977" s="2">
        <v>43796.7628240741</v>
      </c>
      <c r="AQ977" s="1"/>
      <c r="AR977" s="1" t="s">
        <v>280</v>
      </c>
      <c r="AS977" s="1"/>
      <c r="AT977" s="2">
        <v>44269.931099537</v>
      </c>
    </row>
    <row r="978" ht="13.5" customHeight="1">
      <c r="A978" s="1"/>
      <c r="B978" s="1" t="s">
        <v>46</v>
      </c>
      <c r="C978" s="1" t="s">
        <v>47</v>
      </c>
      <c r="D978" s="1"/>
      <c r="E978" s="1" t="s">
        <v>4198</v>
      </c>
      <c r="F978" s="1"/>
      <c r="G978" s="1" t="s">
        <v>49</v>
      </c>
      <c r="H978" s="1" t="s">
        <v>93</v>
      </c>
      <c r="I978" s="1">
        <v>1000.0</v>
      </c>
      <c r="J978" s="1"/>
      <c r="K978" s="1"/>
      <c r="L978" s="1"/>
      <c r="M978" s="1" t="s">
        <v>4199</v>
      </c>
      <c r="N978" s="1" t="s">
        <v>95</v>
      </c>
      <c r="O978" s="1" t="s">
        <v>96</v>
      </c>
      <c r="P978" s="2">
        <v>43796.7329861111</v>
      </c>
      <c r="Q978" s="1" t="s">
        <v>74</v>
      </c>
      <c r="R978" s="1"/>
      <c r="S978" s="1"/>
      <c r="T978" s="1">
        <v>2110005.0</v>
      </c>
      <c r="U978" s="1" t="s">
        <v>4200</v>
      </c>
      <c r="V978" s="1" t="s">
        <v>540</v>
      </c>
      <c r="W978" s="1" t="s">
        <v>177</v>
      </c>
      <c r="X978" s="1"/>
      <c r="Y978" s="1"/>
      <c r="Z978" s="1" t="s">
        <v>98</v>
      </c>
      <c r="AA978" s="1" t="s">
        <v>4201</v>
      </c>
      <c r="AB978" s="1" t="str">
        <f>"***351413**"</f>
        <v>***351413**</v>
      </c>
      <c r="AC978" s="1"/>
      <c r="AD978" s="1" t="s">
        <v>62</v>
      </c>
      <c r="AE978" s="1"/>
      <c r="AF978" s="1">
        <v>-45.665836</v>
      </c>
      <c r="AG978" s="1">
        <v>-3.961389</v>
      </c>
      <c r="AH978" s="1" t="s">
        <v>4202</v>
      </c>
      <c r="AI978" s="1"/>
      <c r="AJ978" s="1" t="s">
        <v>537</v>
      </c>
      <c r="AK978" s="1"/>
      <c r="AL978" s="1"/>
      <c r="AM978" s="1" t="s">
        <v>65</v>
      </c>
      <c r="AN978" s="1" t="s">
        <v>4203</v>
      </c>
      <c r="AO978" s="1"/>
      <c r="AP978" s="2">
        <v>43797.8673958333</v>
      </c>
      <c r="AQ978" s="1"/>
      <c r="AR978" s="1" t="s">
        <v>2340</v>
      </c>
      <c r="AS978" s="1"/>
      <c r="AT978" s="2">
        <v>44269.931099537</v>
      </c>
    </row>
    <row r="979" ht="13.5" customHeight="1">
      <c r="A979" s="1">
        <v>2036117.0</v>
      </c>
      <c r="B979" s="1" t="s">
        <v>67</v>
      </c>
      <c r="C979" s="1" t="s">
        <v>68</v>
      </c>
      <c r="D979" s="1" t="s">
        <v>46</v>
      </c>
      <c r="E979" s="1" t="s">
        <v>4204</v>
      </c>
      <c r="F979" s="1"/>
      <c r="G979" s="1" t="s">
        <v>70</v>
      </c>
      <c r="H979" s="1" t="s">
        <v>50</v>
      </c>
      <c r="I979" s="1">
        <v>64200.0</v>
      </c>
      <c r="J979" s="1"/>
      <c r="K979" s="1"/>
      <c r="L979" s="1" t="s">
        <v>172</v>
      </c>
      <c r="M979" s="1" t="s">
        <v>4205</v>
      </c>
      <c r="N979" s="1" t="s">
        <v>53</v>
      </c>
      <c r="O979" s="1" t="s">
        <v>54</v>
      </c>
      <c r="P979" s="2">
        <v>43796.7083333333</v>
      </c>
      <c r="Q979" s="1" t="s">
        <v>373</v>
      </c>
      <c r="R979" s="3">
        <v>43796.0</v>
      </c>
      <c r="S979" s="1"/>
      <c r="T979" s="1">
        <v>2306553.0</v>
      </c>
      <c r="U979" s="1" t="s">
        <v>2944</v>
      </c>
      <c r="V979" s="1" t="s">
        <v>112</v>
      </c>
      <c r="W979" s="1" t="s">
        <v>288</v>
      </c>
      <c r="X979" s="1"/>
      <c r="Y979" s="1" t="str">
        <f>"02001010052202061"</f>
        <v>02001010052202061</v>
      </c>
      <c r="Z979" s="1" t="s">
        <v>60</v>
      </c>
      <c r="AA979" s="1" t="s">
        <v>4206</v>
      </c>
      <c r="AB979" s="1" t="str">
        <f>"12330684700026"</f>
        <v>12330684700026</v>
      </c>
      <c r="AC979" s="1"/>
      <c r="AD979" s="1"/>
      <c r="AE979" s="1"/>
      <c r="AF979" s="1">
        <v>-39.929447</v>
      </c>
      <c r="AG979" s="1">
        <v>-2.926667</v>
      </c>
      <c r="AH979" s="1" t="s">
        <v>4207</v>
      </c>
      <c r="AI979" s="1"/>
      <c r="AJ979" s="1" t="s">
        <v>172</v>
      </c>
      <c r="AK979" s="1"/>
      <c r="AL979" s="1" t="s">
        <v>79</v>
      </c>
      <c r="AM979" s="1" t="s">
        <v>65</v>
      </c>
      <c r="AN979" s="1" t="s">
        <v>2722</v>
      </c>
      <c r="AO979" s="2">
        <v>43936.0</v>
      </c>
      <c r="AP979" s="2">
        <v>43936.5428240741</v>
      </c>
      <c r="AQ979" s="1" t="s">
        <v>80</v>
      </c>
      <c r="AR979" s="1" t="s">
        <v>577</v>
      </c>
      <c r="AS979" s="1" t="s">
        <v>4208</v>
      </c>
      <c r="AT979" s="2">
        <v>44269.931099537</v>
      </c>
    </row>
    <row r="980" ht="13.5" customHeight="1">
      <c r="A980" s="1"/>
      <c r="B980" s="1" t="s">
        <v>46</v>
      </c>
      <c r="C980" s="1" t="s">
        <v>47</v>
      </c>
      <c r="D980" s="1"/>
      <c r="E980" s="1" t="s">
        <v>4209</v>
      </c>
      <c r="F980" s="1"/>
      <c r="G980" s="1" t="s">
        <v>49</v>
      </c>
      <c r="H980" s="1" t="s">
        <v>50</v>
      </c>
      <c r="I980" s="1">
        <v>45000.0</v>
      </c>
      <c r="J980" s="1"/>
      <c r="K980" s="1" t="s">
        <v>51</v>
      </c>
      <c r="L980" s="1"/>
      <c r="M980" s="1" t="s">
        <v>976</v>
      </c>
      <c r="N980" s="1" t="s">
        <v>977</v>
      </c>
      <c r="O980" s="1" t="s">
        <v>978</v>
      </c>
      <c r="P980" s="2">
        <v>43796.7030324074</v>
      </c>
      <c r="Q980" s="1" t="s">
        <v>74</v>
      </c>
      <c r="R980" s="1"/>
      <c r="S980" s="1"/>
      <c r="T980" s="1">
        <v>3527306.0</v>
      </c>
      <c r="U980" s="1" t="s">
        <v>4210</v>
      </c>
      <c r="V980" s="1" t="s">
        <v>58</v>
      </c>
      <c r="W980" s="1" t="s">
        <v>59</v>
      </c>
      <c r="X980" s="1"/>
      <c r="Y980" s="1"/>
      <c r="Z980" s="1" t="s">
        <v>980</v>
      </c>
      <c r="AA980" s="1" t="s">
        <v>4211</v>
      </c>
      <c r="AB980" s="1" t="str">
        <f>"06160091000109"</f>
        <v>06160091000109</v>
      </c>
      <c r="AC980" s="1"/>
      <c r="AD980" s="1" t="s">
        <v>149</v>
      </c>
      <c r="AE980" s="1"/>
      <c r="AF980" s="1">
        <v>-47.062778</v>
      </c>
      <c r="AG980" s="1">
        <v>-23.226667</v>
      </c>
      <c r="AH980" s="1" t="s">
        <v>982</v>
      </c>
      <c r="AI980" s="1"/>
      <c r="AJ980" s="1" t="s">
        <v>172</v>
      </c>
      <c r="AK980" s="1"/>
      <c r="AL980" s="1"/>
      <c r="AM980" s="1" t="s">
        <v>65</v>
      </c>
      <c r="AN980" s="1" t="s">
        <v>983</v>
      </c>
      <c r="AO980" s="1"/>
      <c r="AP980" s="2">
        <v>44008.7457291667</v>
      </c>
      <c r="AQ980" s="1"/>
      <c r="AR980" s="1" t="s">
        <v>984</v>
      </c>
      <c r="AS980" s="1" t="s">
        <v>2953</v>
      </c>
      <c r="AT980" s="2">
        <v>44269.931099537</v>
      </c>
    </row>
    <row r="981" ht="13.5" customHeight="1">
      <c r="A981" s="1"/>
      <c r="B981" s="1" t="s">
        <v>46</v>
      </c>
      <c r="C981" s="1" t="s">
        <v>47</v>
      </c>
      <c r="D981" s="1"/>
      <c r="E981" s="1" t="s">
        <v>4212</v>
      </c>
      <c r="F981" s="1"/>
      <c r="G981" s="1" t="s">
        <v>49</v>
      </c>
      <c r="H981" s="1" t="s">
        <v>93</v>
      </c>
      <c r="I981" s="1">
        <v>1689.3</v>
      </c>
      <c r="J981" s="1"/>
      <c r="K981" s="1"/>
      <c r="L981" s="1"/>
      <c r="M981" s="1" t="s">
        <v>4213</v>
      </c>
      <c r="N981" s="1" t="s">
        <v>142</v>
      </c>
      <c r="O981" s="1" t="s">
        <v>143</v>
      </c>
      <c r="P981" s="2">
        <v>43796.6819791667</v>
      </c>
      <c r="Q981" s="1" t="s">
        <v>373</v>
      </c>
      <c r="R981" s="1"/>
      <c r="S981" s="1"/>
      <c r="T981" s="1">
        <v>5006606.0</v>
      </c>
      <c r="U981" s="1" t="s">
        <v>4194</v>
      </c>
      <c r="V981" s="1" t="s">
        <v>529</v>
      </c>
      <c r="W981" s="1" t="s">
        <v>59</v>
      </c>
      <c r="X981" s="1"/>
      <c r="Y981" s="1"/>
      <c r="Z981" s="1" t="s">
        <v>147</v>
      </c>
      <c r="AA981" s="1" t="s">
        <v>4214</v>
      </c>
      <c r="AB981" s="1" t="str">
        <f>"***083601**"</f>
        <v>***083601**</v>
      </c>
      <c r="AC981" s="1"/>
      <c r="AD981" s="1" t="s">
        <v>62</v>
      </c>
      <c r="AE981" s="1"/>
      <c r="AF981" s="1">
        <v>-55.603054</v>
      </c>
      <c r="AG981" s="1">
        <v>-22.163334</v>
      </c>
      <c r="AH981" s="1" t="s">
        <v>4215</v>
      </c>
      <c r="AI981" s="1"/>
      <c r="AJ981" s="1" t="s">
        <v>533</v>
      </c>
      <c r="AK981" s="1"/>
      <c r="AL981" s="1"/>
      <c r="AM981" s="1" t="s">
        <v>65</v>
      </c>
      <c r="AN981" s="1" t="s">
        <v>4197</v>
      </c>
      <c r="AO981" s="1"/>
      <c r="AP981" s="2">
        <v>43796.6888310185</v>
      </c>
      <c r="AQ981" s="1"/>
      <c r="AR981" s="1" t="s">
        <v>280</v>
      </c>
      <c r="AS981" s="1"/>
      <c r="AT981" s="2">
        <v>44269.931099537</v>
      </c>
    </row>
    <row r="982" ht="13.5" customHeight="1">
      <c r="A982" s="1">
        <v>2034458.0</v>
      </c>
      <c r="B982" s="1" t="s">
        <v>67</v>
      </c>
      <c r="C982" s="1" t="s">
        <v>68</v>
      </c>
      <c r="D982" s="1" t="s">
        <v>46</v>
      </c>
      <c r="E982" s="1" t="s">
        <v>4216</v>
      </c>
      <c r="F982" s="1"/>
      <c r="G982" s="1" t="s">
        <v>70</v>
      </c>
      <c r="H982" s="1" t="s">
        <v>93</v>
      </c>
      <c r="I982" s="1">
        <v>65500.0</v>
      </c>
      <c r="J982" s="1"/>
      <c r="K982" s="1"/>
      <c r="L982" s="1" t="s">
        <v>106</v>
      </c>
      <c r="M982" s="1" t="s">
        <v>3801</v>
      </c>
      <c r="N982" s="1" t="s">
        <v>95</v>
      </c>
      <c r="O982" s="1" t="s">
        <v>96</v>
      </c>
      <c r="P982" s="2">
        <v>43796.6743055556</v>
      </c>
      <c r="Q982" s="1" t="s">
        <v>74</v>
      </c>
      <c r="R982" s="1"/>
      <c r="S982" s="1"/>
      <c r="T982" s="1">
        <v>2307650.0</v>
      </c>
      <c r="U982" s="1" t="s">
        <v>1477</v>
      </c>
      <c r="V982" s="1" t="s">
        <v>112</v>
      </c>
      <c r="W982" s="1" t="s">
        <v>113</v>
      </c>
      <c r="X982" s="1"/>
      <c r="Y982" s="1" t="str">
        <f>"02007003948201909"</f>
        <v>02007003948201909</v>
      </c>
      <c r="Z982" s="1" t="s">
        <v>1267</v>
      </c>
      <c r="AA982" s="1" t="s">
        <v>4217</v>
      </c>
      <c r="AB982" s="1" t="str">
        <f>"***485943**"</f>
        <v>***485943**</v>
      </c>
      <c r="AC982" s="1"/>
      <c r="AD982" s="1" t="s">
        <v>116</v>
      </c>
      <c r="AE982" s="1"/>
      <c r="AF982" s="1">
        <v>0.0</v>
      </c>
      <c r="AG982" s="1">
        <v>0.0</v>
      </c>
      <c r="AH982" s="1" t="s">
        <v>3819</v>
      </c>
      <c r="AI982" s="1"/>
      <c r="AJ982" s="1"/>
      <c r="AK982" s="1"/>
      <c r="AL982" s="1" t="s">
        <v>118</v>
      </c>
      <c r="AM982" s="1"/>
      <c r="AN982" s="1"/>
      <c r="AO982" s="2">
        <v>43871.7483217593</v>
      </c>
      <c r="AP982" s="2">
        <v>43871.7483217593</v>
      </c>
      <c r="AQ982" s="1" t="s">
        <v>80</v>
      </c>
      <c r="AR982" s="1" t="s">
        <v>3805</v>
      </c>
      <c r="AS982" s="1"/>
      <c r="AT982" s="2">
        <v>44269.931099537</v>
      </c>
    </row>
    <row r="983" ht="13.5" customHeight="1">
      <c r="A983" s="1"/>
      <c r="B983" s="1" t="s">
        <v>46</v>
      </c>
      <c r="C983" s="1" t="s">
        <v>47</v>
      </c>
      <c r="D983" s="1"/>
      <c r="E983" s="1" t="s">
        <v>4218</v>
      </c>
      <c r="F983" s="1"/>
      <c r="G983" s="1" t="s">
        <v>49</v>
      </c>
      <c r="H983" s="1" t="s">
        <v>50</v>
      </c>
      <c r="I983" s="1">
        <v>105000.0</v>
      </c>
      <c r="J983" s="1"/>
      <c r="K983" s="1" t="s">
        <v>51</v>
      </c>
      <c r="L983" s="1"/>
      <c r="M983" s="1" t="s">
        <v>4219</v>
      </c>
      <c r="N983" s="1" t="s">
        <v>977</v>
      </c>
      <c r="O983" s="1" t="s">
        <v>978</v>
      </c>
      <c r="P983" s="2">
        <v>43796.6578125</v>
      </c>
      <c r="Q983" s="1" t="s">
        <v>74</v>
      </c>
      <c r="R983" s="1"/>
      <c r="S983" s="1"/>
      <c r="T983" s="1">
        <v>3534401.0</v>
      </c>
      <c r="U983" s="1" t="s">
        <v>1459</v>
      </c>
      <c r="V983" s="1" t="s">
        <v>58</v>
      </c>
      <c r="W983" s="1" t="s">
        <v>59</v>
      </c>
      <c r="X983" s="1"/>
      <c r="Y983" s="1"/>
      <c r="Z983" s="1" t="s">
        <v>980</v>
      </c>
      <c r="AA983" s="1" t="s">
        <v>2382</v>
      </c>
      <c r="AB983" s="1" t="str">
        <f>"01722256000175"</f>
        <v>01722256000175</v>
      </c>
      <c r="AC983" s="1"/>
      <c r="AD983" s="1" t="s">
        <v>149</v>
      </c>
      <c r="AE983" s="1"/>
      <c r="AF983" s="1">
        <v>-46.790001</v>
      </c>
      <c r="AG983" s="1">
        <v>-23.365</v>
      </c>
      <c r="AH983" s="1" t="s">
        <v>4220</v>
      </c>
      <c r="AI983" s="1"/>
      <c r="AJ983" s="1" t="s">
        <v>172</v>
      </c>
      <c r="AK983" s="1"/>
      <c r="AL983" s="1"/>
      <c r="AM983" s="1" t="s">
        <v>65</v>
      </c>
      <c r="AN983" s="1" t="s">
        <v>983</v>
      </c>
      <c r="AO983" s="1"/>
      <c r="AP983" s="2">
        <v>44014.8134490741</v>
      </c>
      <c r="AQ983" s="1"/>
      <c r="AR983" s="1" t="s">
        <v>1843</v>
      </c>
      <c r="AS983" s="1" t="s">
        <v>4221</v>
      </c>
      <c r="AT983" s="2">
        <v>44269.931099537</v>
      </c>
    </row>
    <row r="984" ht="13.5" customHeight="1">
      <c r="A984" s="1"/>
      <c r="B984" s="1" t="s">
        <v>46</v>
      </c>
      <c r="C984" s="1" t="s">
        <v>47</v>
      </c>
      <c r="D984" s="1"/>
      <c r="E984" s="1" t="s">
        <v>4222</v>
      </c>
      <c r="F984" s="1"/>
      <c r="G984" s="1" t="s">
        <v>49</v>
      </c>
      <c r="H984" s="1" t="s">
        <v>50</v>
      </c>
      <c r="I984" s="1">
        <v>105000.0</v>
      </c>
      <c r="J984" s="1"/>
      <c r="K984" s="1" t="s">
        <v>51</v>
      </c>
      <c r="L984" s="1"/>
      <c r="M984" s="1" t="s">
        <v>976</v>
      </c>
      <c r="N984" s="1" t="s">
        <v>977</v>
      </c>
      <c r="O984" s="1" t="s">
        <v>978</v>
      </c>
      <c r="P984" s="2">
        <v>43796.6565856481</v>
      </c>
      <c r="Q984" s="1" t="s">
        <v>74</v>
      </c>
      <c r="R984" s="1"/>
      <c r="S984" s="1"/>
      <c r="T984" s="1">
        <v>4314902.0</v>
      </c>
      <c r="U984" s="1" t="s">
        <v>2671</v>
      </c>
      <c r="V984" s="1" t="s">
        <v>145</v>
      </c>
      <c r="W984" s="1" t="s">
        <v>146</v>
      </c>
      <c r="X984" s="1"/>
      <c r="Y984" s="1"/>
      <c r="Z984" s="1" t="s">
        <v>980</v>
      </c>
      <c r="AA984" s="1" t="s">
        <v>2697</v>
      </c>
      <c r="AB984" s="1" t="str">
        <f t="shared" ref="AB984:AB985" si="44">"03921280000169"</f>
        <v>03921280000169</v>
      </c>
      <c r="AC984" s="1"/>
      <c r="AD984" s="1" t="s">
        <v>149</v>
      </c>
      <c r="AE984" s="1"/>
      <c r="AF984" s="1">
        <v>-51.182777</v>
      </c>
      <c r="AG984" s="1">
        <v>-30.007778</v>
      </c>
      <c r="AH984" s="1" t="s">
        <v>982</v>
      </c>
      <c r="AI984" s="1"/>
      <c r="AJ984" s="1" t="s">
        <v>172</v>
      </c>
      <c r="AK984" s="1"/>
      <c r="AL984" s="1"/>
      <c r="AM984" s="1" t="s">
        <v>65</v>
      </c>
      <c r="AN984" s="1" t="s">
        <v>983</v>
      </c>
      <c r="AO984" s="1"/>
      <c r="AP984" s="2">
        <v>44008.7458680556</v>
      </c>
      <c r="AQ984" s="1"/>
      <c r="AR984" s="1" t="s">
        <v>984</v>
      </c>
      <c r="AS984" s="1" t="s">
        <v>4223</v>
      </c>
      <c r="AT984" s="2">
        <v>44269.931099537</v>
      </c>
    </row>
    <row r="985" ht="13.5" customHeight="1">
      <c r="A985" s="1"/>
      <c r="B985" s="1" t="s">
        <v>46</v>
      </c>
      <c r="C985" s="1" t="s">
        <v>47</v>
      </c>
      <c r="D985" s="1"/>
      <c r="E985" s="1" t="s">
        <v>4224</v>
      </c>
      <c r="F985" s="1"/>
      <c r="G985" s="1" t="s">
        <v>49</v>
      </c>
      <c r="H985" s="1" t="s">
        <v>50</v>
      </c>
      <c r="I985" s="1">
        <v>105000.0</v>
      </c>
      <c r="J985" s="1"/>
      <c r="K985" s="1" t="s">
        <v>51</v>
      </c>
      <c r="L985" s="1"/>
      <c r="M985" s="1"/>
      <c r="N985" s="1" t="s">
        <v>977</v>
      </c>
      <c r="O985" s="1" t="s">
        <v>978</v>
      </c>
      <c r="P985" s="2">
        <v>43796.6464467593</v>
      </c>
      <c r="Q985" s="1" t="s">
        <v>74</v>
      </c>
      <c r="R985" s="1"/>
      <c r="S985" s="1"/>
      <c r="T985" s="1">
        <v>4314902.0</v>
      </c>
      <c r="U985" s="1" t="s">
        <v>2671</v>
      </c>
      <c r="V985" s="1" t="s">
        <v>145</v>
      </c>
      <c r="W985" s="1" t="s">
        <v>146</v>
      </c>
      <c r="X985" s="1"/>
      <c r="Y985" s="1"/>
      <c r="Z985" s="1" t="s">
        <v>980</v>
      </c>
      <c r="AA985" s="1" t="s">
        <v>2697</v>
      </c>
      <c r="AB985" s="1" t="str">
        <f t="shared" si="44"/>
        <v>03921280000169</v>
      </c>
      <c r="AC985" s="1"/>
      <c r="AD985" s="1" t="s">
        <v>149</v>
      </c>
      <c r="AE985" s="1"/>
      <c r="AF985" s="1">
        <v>-51.182777</v>
      </c>
      <c r="AG985" s="1">
        <v>-30.007778</v>
      </c>
      <c r="AH985" s="1" t="s">
        <v>982</v>
      </c>
      <c r="AI985" s="1"/>
      <c r="AJ985" s="1" t="s">
        <v>172</v>
      </c>
      <c r="AK985" s="1"/>
      <c r="AL985" s="1"/>
      <c r="AM985" s="1" t="s">
        <v>65</v>
      </c>
      <c r="AN985" s="1" t="s">
        <v>983</v>
      </c>
      <c r="AO985" s="1"/>
      <c r="AP985" s="2">
        <v>44008.7459606482</v>
      </c>
      <c r="AQ985" s="1"/>
      <c r="AR985" s="1" t="s">
        <v>984</v>
      </c>
      <c r="AS985" s="1" t="s">
        <v>4225</v>
      </c>
      <c r="AT985" s="2">
        <v>44269.931099537</v>
      </c>
    </row>
    <row r="986" ht="13.5" customHeight="1">
      <c r="A986" s="1">
        <v>2034519.0</v>
      </c>
      <c r="B986" s="1" t="s">
        <v>67</v>
      </c>
      <c r="C986" s="1" t="s">
        <v>68</v>
      </c>
      <c r="D986" s="1" t="s">
        <v>46</v>
      </c>
      <c r="E986" s="1" t="s">
        <v>4226</v>
      </c>
      <c r="F986" s="1"/>
      <c r="G986" s="1" t="s">
        <v>70</v>
      </c>
      <c r="H986" s="1" t="s">
        <v>93</v>
      </c>
      <c r="I986" s="1">
        <v>65500.0</v>
      </c>
      <c r="J986" s="1"/>
      <c r="K986" s="1"/>
      <c r="L986" s="1" t="s">
        <v>106</v>
      </c>
      <c r="M986" s="1" t="s">
        <v>3801</v>
      </c>
      <c r="N986" s="1" t="s">
        <v>95</v>
      </c>
      <c r="O986" s="1" t="s">
        <v>96</v>
      </c>
      <c r="P986" s="2">
        <v>43796.6381944444</v>
      </c>
      <c r="Q986" s="1" t="s">
        <v>74</v>
      </c>
      <c r="R986" s="1"/>
      <c r="S986" s="1"/>
      <c r="T986" s="1">
        <v>2304400.0</v>
      </c>
      <c r="U986" s="1" t="s">
        <v>111</v>
      </c>
      <c r="V986" s="1" t="s">
        <v>112</v>
      </c>
      <c r="W986" s="1" t="s">
        <v>113</v>
      </c>
      <c r="X986" s="1"/>
      <c r="Y986" s="1" t="str">
        <f>"02007003917201940"</f>
        <v>02007003917201940</v>
      </c>
      <c r="Z986" s="1" t="s">
        <v>3814</v>
      </c>
      <c r="AA986" s="1" t="s">
        <v>4227</v>
      </c>
      <c r="AB986" s="1" t="str">
        <f t="shared" ref="AB986:AB987" si="45">"***556493**"</f>
        <v>***556493**</v>
      </c>
      <c r="AC986" s="1"/>
      <c r="AD986" s="1" t="s">
        <v>116</v>
      </c>
      <c r="AE986" s="1"/>
      <c r="AF986" s="1">
        <v>0.0</v>
      </c>
      <c r="AG986" s="1">
        <v>0.0</v>
      </c>
      <c r="AH986" s="1" t="s">
        <v>3819</v>
      </c>
      <c r="AI986" s="1"/>
      <c r="AJ986" s="1"/>
      <c r="AK986" s="1"/>
      <c r="AL986" s="1" t="s">
        <v>118</v>
      </c>
      <c r="AM986" s="1"/>
      <c r="AN986" s="1"/>
      <c r="AO986" s="2">
        <v>43880.7428009259</v>
      </c>
      <c r="AP986" s="2">
        <v>43880.7428009259</v>
      </c>
      <c r="AQ986" s="1" t="s">
        <v>80</v>
      </c>
      <c r="AR986" s="1" t="s">
        <v>3805</v>
      </c>
      <c r="AS986" s="1"/>
      <c r="AT986" s="2">
        <v>44269.931099537</v>
      </c>
    </row>
    <row r="987" ht="13.5" customHeight="1">
      <c r="A987" s="1">
        <v>2034479.0</v>
      </c>
      <c r="B987" s="1" t="s">
        <v>67</v>
      </c>
      <c r="C987" s="1" t="s">
        <v>68</v>
      </c>
      <c r="D987" s="1" t="s">
        <v>46</v>
      </c>
      <c r="E987" s="1" t="s">
        <v>4228</v>
      </c>
      <c r="F987" s="1"/>
      <c r="G987" s="1" t="s">
        <v>70</v>
      </c>
      <c r="H987" s="1" t="s">
        <v>93</v>
      </c>
      <c r="I987" s="1">
        <v>1000.0</v>
      </c>
      <c r="J987" s="1"/>
      <c r="K987" s="1"/>
      <c r="L987" s="1" t="s">
        <v>106</v>
      </c>
      <c r="M987" s="1" t="s">
        <v>4229</v>
      </c>
      <c r="N987" s="1" t="s">
        <v>95</v>
      </c>
      <c r="O987" s="1" t="s">
        <v>96</v>
      </c>
      <c r="P987" s="2">
        <v>43796.6298611111</v>
      </c>
      <c r="Q987" s="1" t="s">
        <v>74</v>
      </c>
      <c r="R987" s="1"/>
      <c r="S987" s="1"/>
      <c r="T987" s="1">
        <v>2304400.0</v>
      </c>
      <c r="U987" s="1" t="s">
        <v>111</v>
      </c>
      <c r="V987" s="1" t="s">
        <v>112</v>
      </c>
      <c r="W987" s="1" t="s">
        <v>113</v>
      </c>
      <c r="X987" s="1"/>
      <c r="Y987" s="1" t="str">
        <f>"02007003918201994"</f>
        <v>02007003918201994</v>
      </c>
      <c r="Z987" s="1" t="s">
        <v>1267</v>
      </c>
      <c r="AA987" s="1" t="s">
        <v>4227</v>
      </c>
      <c r="AB987" s="1" t="str">
        <f t="shared" si="45"/>
        <v>***556493**</v>
      </c>
      <c r="AC987" s="1"/>
      <c r="AD987" s="1" t="s">
        <v>116</v>
      </c>
      <c r="AE987" s="1"/>
      <c r="AF987" s="1">
        <v>0.0</v>
      </c>
      <c r="AG987" s="1">
        <v>0.0</v>
      </c>
      <c r="AH987" s="1" t="s">
        <v>3819</v>
      </c>
      <c r="AI987" s="1"/>
      <c r="AJ987" s="1"/>
      <c r="AK987" s="1"/>
      <c r="AL987" s="1" t="s">
        <v>118</v>
      </c>
      <c r="AM987" s="1"/>
      <c r="AN987" s="1"/>
      <c r="AO987" s="2">
        <v>43874.6961458333</v>
      </c>
      <c r="AP987" s="2">
        <v>43874.6961458333</v>
      </c>
      <c r="AQ987" s="1" t="s">
        <v>80</v>
      </c>
      <c r="AR987" s="1" t="s">
        <v>1270</v>
      </c>
      <c r="AS987" s="1"/>
      <c r="AT987" s="2">
        <v>44269.931099537</v>
      </c>
    </row>
    <row r="988" ht="13.5" customHeight="1">
      <c r="A988" s="1">
        <v>2035689.0</v>
      </c>
      <c r="B988" s="1" t="s">
        <v>67</v>
      </c>
      <c r="C988" s="1" t="s">
        <v>68</v>
      </c>
      <c r="D988" s="1" t="s">
        <v>46</v>
      </c>
      <c r="E988" s="1" t="s">
        <v>4230</v>
      </c>
      <c r="F988" s="1"/>
      <c r="G988" s="1" t="s">
        <v>70</v>
      </c>
      <c r="H988" s="1" t="s">
        <v>93</v>
      </c>
      <c r="I988" s="1">
        <v>1000.0</v>
      </c>
      <c r="J988" s="1"/>
      <c r="K988" s="1"/>
      <c r="L988" s="1" t="s">
        <v>106</v>
      </c>
      <c r="M988" s="1" t="s">
        <v>3880</v>
      </c>
      <c r="N988" s="1" t="s">
        <v>95</v>
      </c>
      <c r="O988" s="1" t="s">
        <v>96</v>
      </c>
      <c r="P988" s="2">
        <v>43796.625</v>
      </c>
      <c r="Q988" s="1" t="s">
        <v>74</v>
      </c>
      <c r="R988" s="3">
        <v>43796.0</v>
      </c>
      <c r="S988" s="1"/>
      <c r="T988" s="1">
        <v>2304400.0</v>
      </c>
      <c r="U988" s="1" t="s">
        <v>111</v>
      </c>
      <c r="V988" s="1" t="s">
        <v>112</v>
      </c>
      <c r="W988" s="1" t="s">
        <v>113</v>
      </c>
      <c r="X988" s="1"/>
      <c r="Y988" s="1" t="str">
        <f>"02007003915201951"</f>
        <v>02007003915201951</v>
      </c>
      <c r="Z988" s="1" t="s">
        <v>98</v>
      </c>
      <c r="AA988" s="1" t="s">
        <v>4231</v>
      </c>
      <c r="AB988" s="1" t="str">
        <f>"***537683**"</f>
        <v>***537683**</v>
      </c>
      <c r="AC988" s="1"/>
      <c r="AD988" s="1" t="s">
        <v>116</v>
      </c>
      <c r="AE988" s="1"/>
      <c r="AF988" s="1">
        <v>-38.623611</v>
      </c>
      <c r="AG988" s="1">
        <v>-3.780833</v>
      </c>
      <c r="AH988" s="1" t="s">
        <v>3803</v>
      </c>
      <c r="AI988" s="1"/>
      <c r="AJ988" s="1" t="s">
        <v>106</v>
      </c>
      <c r="AK988" s="1" t="s">
        <v>4000</v>
      </c>
      <c r="AL988" s="1" t="s">
        <v>79</v>
      </c>
      <c r="AM988" s="1" t="s">
        <v>65</v>
      </c>
      <c r="AN988" s="1" t="s">
        <v>3804</v>
      </c>
      <c r="AO988" s="2">
        <v>43914.0</v>
      </c>
      <c r="AP988" s="2">
        <v>44070.6823726852</v>
      </c>
      <c r="AQ988" s="1" t="s">
        <v>80</v>
      </c>
      <c r="AR988" s="1" t="s">
        <v>475</v>
      </c>
      <c r="AS988" s="1"/>
      <c r="AT988" s="2">
        <v>44269.931099537</v>
      </c>
    </row>
    <row r="989" ht="13.5" customHeight="1">
      <c r="A989" s="1">
        <v>2039684.0</v>
      </c>
      <c r="B989" s="1" t="s">
        <v>67</v>
      </c>
      <c r="C989" s="1" t="s">
        <v>68</v>
      </c>
      <c r="D989" s="1" t="s">
        <v>46</v>
      </c>
      <c r="E989" s="1" t="s">
        <v>4232</v>
      </c>
      <c r="F989" s="1"/>
      <c r="G989" s="1" t="s">
        <v>70</v>
      </c>
      <c r="H989" s="1" t="s">
        <v>93</v>
      </c>
      <c r="I989" s="1">
        <v>225000.0</v>
      </c>
      <c r="J989" s="1"/>
      <c r="K989" s="1"/>
      <c r="L989" s="1" t="s">
        <v>386</v>
      </c>
      <c r="M989" s="1" t="s">
        <v>4233</v>
      </c>
      <c r="N989" s="1" t="s">
        <v>142</v>
      </c>
      <c r="O989" s="1" t="s">
        <v>143</v>
      </c>
      <c r="P989" s="2">
        <v>43796.625</v>
      </c>
      <c r="Q989" s="1" t="s">
        <v>74</v>
      </c>
      <c r="R989" s="3">
        <v>43795.0</v>
      </c>
      <c r="S989" s="1"/>
      <c r="T989" s="1">
        <v>1708205.0</v>
      </c>
      <c r="U989" s="1" t="s">
        <v>4234</v>
      </c>
      <c r="V989" s="1" t="s">
        <v>2156</v>
      </c>
      <c r="W989" s="1" t="s">
        <v>127</v>
      </c>
      <c r="X989" s="1"/>
      <c r="Y989" s="1" t="str">
        <f>"02029001452201934"</f>
        <v>02029001452201934</v>
      </c>
      <c r="Z989" s="1" t="s">
        <v>147</v>
      </c>
      <c r="AA989" s="1" t="s">
        <v>4235</v>
      </c>
      <c r="AB989" s="1" t="str">
        <f>"***422238**"</f>
        <v>***422238**</v>
      </c>
      <c r="AC989" s="1"/>
      <c r="AD989" s="1"/>
      <c r="AE989" s="1"/>
      <c r="AF989" s="1">
        <v>-49.631664</v>
      </c>
      <c r="AG989" s="1">
        <v>-12.0775</v>
      </c>
      <c r="AH989" s="1" t="s">
        <v>4236</v>
      </c>
      <c r="AI989" s="1"/>
      <c r="AJ989" s="1" t="s">
        <v>386</v>
      </c>
      <c r="AK989" s="1"/>
      <c r="AL989" s="1" t="s">
        <v>79</v>
      </c>
      <c r="AM989" s="1" t="s">
        <v>65</v>
      </c>
      <c r="AN989" s="1" t="s">
        <v>4237</v>
      </c>
      <c r="AO989" s="2">
        <v>44070.0</v>
      </c>
      <c r="AP989" s="2">
        <v>44070.4956481482</v>
      </c>
      <c r="AQ989" s="1" t="s">
        <v>80</v>
      </c>
      <c r="AR989" s="1" t="s">
        <v>451</v>
      </c>
      <c r="AS989" s="1"/>
      <c r="AT989" s="2">
        <v>44269.931099537</v>
      </c>
    </row>
    <row r="990" ht="13.5" customHeight="1">
      <c r="A990" s="1">
        <v>2034506.0</v>
      </c>
      <c r="B990" s="1" t="s">
        <v>67</v>
      </c>
      <c r="C990" s="1" t="s">
        <v>68</v>
      </c>
      <c r="D990" s="1" t="s">
        <v>46</v>
      </c>
      <c r="E990" s="1" t="s">
        <v>4238</v>
      </c>
      <c r="F990" s="1"/>
      <c r="G990" s="1" t="s">
        <v>70</v>
      </c>
      <c r="H990" s="1" t="s">
        <v>93</v>
      </c>
      <c r="I990" s="1">
        <v>65500.0</v>
      </c>
      <c r="J990" s="1"/>
      <c r="K990" s="1"/>
      <c r="L990" s="1" t="s">
        <v>106</v>
      </c>
      <c r="M990" s="1" t="s">
        <v>3801</v>
      </c>
      <c r="N990" s="1" t="s">
        <v>95</v>
      </c>
      <c r="O990" s="1" t="s">
        <v>96</v>
      </c>
      <c r="P990" s="2">
        <v>43796.6180555556</v>
      </c>
      <c r="Q990" s="1" t="s">
        <v>74</v>
      </c>
      <c r="R990" s="1"/>
      <c r="S990" s="1"/>
      <c r="T990" s="1">
        <v>2303709.0</v>
      </c>
      <c r="U990" s="1" t="s">
        <v>3994</v>
      </c>
      <c r="V990" s="1" t="s">
        <v>112</v>
      </c>
      <c r="W990" s="1" t="s">
        <v>113</v>
      </c>
      <c r="X990" s="1"/>
      <c r="Y990" s="1" t="str">
        <f>"02007003913201961"</f>
        <v>02007003913201961</v>
      </c>
      <c r="Z990" s="1" t="s">
        <v>3814</v>
      </c>
      <c r="AA990" s="1" t="s">
        <v>4231</v>
      </c>
      <c r="AB990" s="1" t="str">
        <f>"***537683**"</f>
        <v>***537683**</v>
      </c>
      <c r="AC990" s="1"/>
      <c r="AD990" s="1" t="s">
        <v>116</v>
      </c>
      <c r="AE990" s="1"/>
      <c r="AF990" s="1">
        <v>0.0</v>
      </c>
      <c r="AG990" s="1">
        <v>0.0</v>
      </c>
      <c r="AH990" s="1" t="s">
        <v>3819</v>
      </c>
      <c r="AI990" s="1"/>
      <c r="AJ990" s="1"/>
      <c r="AK990" s="1"/>
      <c r="AL990" s="1" t="s">
        <v>118</v>
      </c>
      <c r="AM990" s="1"/>
      <c r="AN990" s="1"/>
      <c r="AO990" s="2">
        <v>43879.7013310185</v>
      </c>
      <c r="AP990" s="2">
        <v>43879.7013310185</v>
      </c>
      <c r="AQ990" s="1" t="s">
        <v>80</v>
      </c>
      <c r="AR990" s="1" t="s">
        <v>3805</v>
      </c>
      <c r="AS990" s="1"/>
      <c r="AT990" s="2">
        <v>44269.931099537</v>
      </c>
    </row>
    <row r="991" ht="13.5" customHeight="1">
      <c r="A991" s="1"/>
      <c r="B991" s="1" t="s">
        <v>46</v>
      </c>
      <c r="C991" s="1" t="s">
        <v>47</v>
      </c>
      <c r="D991" s="1"/>
      <c r="E991" s="1" t="s">
        <v>4239</v>
      </c>
      <c r="F991" s="1"/>
      <c r="G991" s="1" t="s">
        <v>49</v>
      </c>
      <c r="H991" s="1" t="s">
        <v>93</v>
      </c>
      <c r="I991" s="1">
        <v>250000.0</v>
      </c>
      <c r="J991" s="1"/>
      <c r="K991" s="1"/>
      <c r="L991" s="1"/>
      <c r="M991" s="1" t="s">
        <v>4240</v>
      </c>
      <c r="N991" s="1" t="s">
        <v>142</v>
      </c>
      <c r="O991" s="1" t="s">
        <v>143</v>
      </c>
      <c r="P991" s="2">
        <v>43796.6088078704</v>
      </c>
      <c r="Q991" s="1" t="s">
        <v>74</v>
      </c>
      <c r="R991" s="1"/>
      <c r="S991" s="1"/>
      <c r="T991" s="1">
        <v>1507300.0</v>
      </c>
      <c r="U991" s="1" t="s">
        <v>3161</v>
      </c>
      <c r="V991" s="1" t="s">
        <v>193</v>
      </c>
      <c r="W991" s="1" t="s">
        <v>177</v>
      </c>
      <c r="X991" s="1"/>
      <c r="Y991" s="1"/>
      <c r="Z991" s="1" t="s">
        <v>147</v>
      </c>
      <c r="AA991" s="1" t="s">
        <v>4241</v>
      </c>
      <c r="AB991" s="1" t="str">
        <f>"***026442**"</f>
        <v>***026442**</v>
      </c>
      <c r="AC991" s="1"/>
      <c r="AD991" s="1" t="s">
        <v>116</v>
      </c>
      <c r="AE991" s="1"/>
      <c r="AF991" s="1">
        <v>-50.993057</v>
      </c>
      <c r="AG991" s="1">
        <v>-5.219444</v>
      </c>
      <c r="AH991" s="1" t="s">
        <v>4242</v>
      </c>
      <c r="AI991" s="1"/>
      <c r="AJ991" s="1" t="s">
        <v>172</v>
      </c>
      <c r="AK991" s="1"/>
      <c r="AL991" s="1"/>
      <c r="AM991" s="1" t="s">
        <v>65</v>
      </c>
      <c r="AN991" s="1" t="s">
        <v>2164</v>
      </c>
      <c r="AO991" s="1"/>
      <c r="AP991" s="2">
        <v>43796.618275463</v>
      </c>
      <c r="AQ991" s="1"/>
      <c r="AR991" s="1" t="s">
        <v>644</v>
      </c>
      <c r="AS991" s="1" t="s">
        <v>4243</v>
      </c>
      <c r="AT991" s="2">
        <v>44269.931099537</v>
      </c>
    </row>
    <row r="992" ht="13.5" customHeight="1">
      <c r="A992" s="1"/>
      <c r="B992" s="1" t="s">
        <v>46</v>
      </c>
      <c r="C992" s="1" t="s">
        <v>47</v>
      </c>
      <c r="D992" s="1"/>
      <c r="E992" s="1" t="s">
        <v>4244</v>
      </c>
      <c r="F992" s="1"/>
      <c r="G992" s="1" t="s">
        <v>49</v>
      </c>
      <c r="H992" s="1" t="s">
        <v>50</v>
      </c>
      <c r="I992" s="1">
        <v>5840.0</v>
      </c>
      <c r="J992" s="1"/>
      <c r="K992" s="1" t="s">
        <v>140</v>
      </c>
      <c r="L992" s="1"/>
      <c r="M992" s="1" t="s">
        <v>4245</v>
      </c>
      <c r="N992" s="1" t="s">
        <v>53</v>
      </c>
      <c r="O992" s="1" t="s">
        <v>54</v>
      </c>
      <c r="P992" s="2">
        <v>43796.577037037</v>
      </c>
      <c r="Q992" s="1" t="s">
        <v>55</v>
      </c>
      <c r="R992" s="1"/>
      <c r="S992" s="1"/>
      <c r="T992" s="1">
        <v>2611606.0</v>
      </c>
      <c r="U992" s="1" t="s">
        <v>4246</v>
      </c>
      <c r="V992" s="1" t="s">
        <v>1037</v>
      </c>
      <c r="W992" s="1" t="s">
        <v>288</v>
      </c>
      <c r="X992" s="1"/>
      <c r="Y992" s="1"/>
      <c r="Z992" s="1" t="s">
        <v>60</v>
      </c>
      <c r="AA992" s="1" t="s">
        <v>4247</v>
      </c>
      <c r="AB992" s="1" t="str">
        <f>"***494634**"</f>
        <v>***494634**</v>
      </c>
      <c r="AC992" s="1"/>
      <c r="AD992" s="1" t="s">
        <v>62</v>
      </c>
      <c r="AE992" s="1"/>
      <c r="AF992" s="1">
        <v>-34.894726</v>
      </c>
      <c r="AG992" s="1">
        <v>-8.088611</v>
      </c>
      <c r="AH992" s="1" t="s">
        <v>4248</v>
      </c>
      <c r="AI992" s="1"/>
      <c r="AJ992" s="1" t="s">
        <v>172</v>
      </c>
      <c r="AK992" s="1"/>
      <c r="AL992" s="1"/>
      <c r="AM992" s="1" t="s">
        <v>65</v>
      </c>
      <c r="AN992" s="1" t="s">
        <v>2722</v>
      </c>
      <c r="AO992" s="1"/>
      <c r="AP992" s="2">
        <v>43796.6340393519</v>
      </c>
      <c r="AQ992" s="1"/>
      <c r="AR992" s="1" t="s">
        <v>4249</v>
      </c>
      <c r="AS992" s="1" t="s">
        <v>4250</v>
      </c>
      <c r="AT992" s="2">
        <v>44269.931099537</v>
      </c>
    </row>
    <row r="993" ht="13.5" customHeight="1">
      <c r="A993" s="1"/>
      <c r="B993" s="1" t="s">
        <v>46</v>
      </c>
      <c r="C993" s="1" t="s">
        <v>47</v>
      </c>
      <c r="D993" s="1"/>
      <c r="E993" s="1" t="s">
        <v>4251</v>
      </c>
      <c r="F993" s="1"/>
      <c r="G993" s="1" t="s">
        <v>49</v>
      </c>
      <c r="H993" s="1" t="s">
        <v>93</v>
      </c>
      <c r="I993" s="1">
        <v>230000.0</v>
      </c>
      <c r="J993" s="1"/>
      <c r="K993" s="1"/>
      <c r="L993" s="1"/>
      <c r="M993" s="1" t="s">
        <v>4252</v>
      </c>
      <c r="N993" s="1" t="s">
        <v>142</v>
      </c>
      <c r="O993" s="1" t="s">
        <v>143</v>
      </c>
      <c r="P993" s="2">
        <v>43796.5672569445</v>
      </c>
      <c r="Q993" s="1" t="s">
        <v>74</v>
      </c>
      <c r="R993" s="1"/>
      <c r="S993" s="1"/>
      <c r="T993" s="1">
        <v>1507300.0</v>
      </c>
      <c r="U993" s="1" t="s">
        <v>3161</v>
      </c>
      <c r="V993" s="1" t="s">
        <v>193</v>
      </c>
      <c r="W993" s="1" t="s">
        <v>177</v>
      </c>
      <c r="X993" s="1"/>
      <c r="Y993" s="1"/>
      <c r="Z993" s="1" t="s">
        <v>147</v>
      </c>
      <c r="AA993" s="1" t="s">
        <v>4253</v>
      </c>
      <c r="AB993" s="1" t="str">
        <f>"***376452**"</f>
        <v>***376452**</v>
      </c>
      <c r="AC993" s="1"/>
      <c r="AD993" s="1" t="s">
        <v>116</v>
      </c>
      <c r="AE993" s="1"/>
      <c r="AF993" s="1">
        <v>-51.392223</v>
      </c>
      <c r="AG993" s="1">
        <v>-5.925278</v>
      </c>
      <c r="AH993" s="1" t="s">
        <v>4254</v>
      </c>
      <c r="AI993" s="1"/>
      <c r="AJ993" s="1" t="s">
        <v>172</v>
      </c>
      <c r="AK993" s="1"/>
      <c r="AL993" s="1"/>
      <c r="AM993" s="1" t="s">
        <v>65</v>
      </c>
      <c r="AN993" s="1" t="s">
        <v>2164</v>
      </c>
      <c r="AO993" s="1"/>
      <c r="AP993" s="2">
        <v>43796.5990046296</v>
      </c>
      <c r="AQ993" s="1"/>
      <c r="AR993" s="1" t="s">
        <v>644</v>
      </c>
      <c r="AS993" s="1" t="s">
        <v>4243</v>
      </c>
      <c r="AT993" s="2">
        <v>44269.931099537</v>
      </c>
    </row>
    <row r="994" ht="13.5" customHeight="1">
      <c r="A994" s="1"/>
      <c r="B994" s="1" t="s">
        <v>46</v>
      </c>
      <c r="C994" s="1" t="s">
        <v>47</v>
      </c>
      <c r="D994" s="1"/>
      <c r="E994" s="1" t="s">
        <v>4255</v>
      </c>
      <c r="F994" s="1"/>
      <c r="G994" s="1" t="s">
        <v>49</v>
      </c>
      <c r="H994" s="1" t="s">
        <v>50</v>
      </c>
      <c r="I994" s="1">
        <v>31500.0</v>
      </c>
      <c r="J994" s="1"/>
      <c r="K994" s="1" t="s">
        <v>140</v>
      </c>
      <c r="L994" s="1"/>
      <c r="M994" s="1" t="s">
        <v>4256</v>
      </c>
      <c r="N994" s="1" t="s">
        <v>53</v>
      </c>
      <c r="O994" s="1" t="s">
        <v>54</v>
      </c>
      <c r="P994" s="2">
        <v>43796.5610300926</v>
      </c>
      <c r="Q994" s="1" t="s">
        <v>373</v>
      </c>
      <c r="R994" s="1"/>
      <c r="S994" s="1"/>
      <c r="T994" s="1">
        <v>2300200.0</v>
      </c>
      <c r="U994" s="1" t="s">
        <v>1365</v>
      </c>
      <c r="V994" s="1" t="s">
        <v>112</v>
      </c>
      <c r="W994" s="1" t="s">
        <v>288</v>
      </c>
      <c r="X994" s="1"/>
      <c r="Y994" s="1" t="str">
        <f>"02001021145202011"</f>
        <v>02001021145202011</v>
      </c>
      <c r="Z994" s="1" t="s">
        <v>60</v>
      </c>
      <c r="AA994" s="1" t="s">
        <v>4257</v>
      </c>
      <c r="AB994" s="1" t="str">
        <f>"04720877000108"</f>
        <v>04720877000108</v>
      </c>
      <c r="AC994" s="1"/>
      <c r="AD994" s="1" t="s">
        <v>62</v>
      </c>
      <c r="AE994" s="1"/>
      <c r="AF994" s="1">
        <v>-40.122776</v>
      </c>
      <c r="AG994" s="1">
        <v>-2.878334</v>
      </c>
      <c r="AH994" s="1" t="s">
        <v>4258</v>
      </c>
      <c r="AI994" s="1"/>
      <c r="AJ994" s="1" t="s">
        <v>172</v>
      </c>
      <c r="AK994" s="1"/>
      <c r="AL994" s="1"/>
      <c r="AM994" s="1" t="s">
        <v>65</v>
      </c>
      <c r="AN994" s="1" t="s">
        <v>2722</v>
      </c>
      <c r="AO994" s="1"/>
      <c r="AP994" s="2">
        <v>44091.7620833333</v>
      </c>
      <c r="AQ994" s="1"/>
      <c r="AR994" s="1" t="s">
        <v>4259</v>
      </c>
      <c r="AS994" s="1"/>
      <c r="AT994" s="2">
        <v>44269.931099537</v>
      </c>
    </row>
    <row r="995" ht="13.5" customHeight="1">
      <c r="A995" s="1"/>
      <c r="B995" s="1" t="s">
        <v>46</v>
      </c>
      <c r="C995" s="1" t="s">
        <v>47</v>
      </c>
      <c r="D995" s="1"/>
      <c r="E995" s="1" t="s">
        <v>4260</v>
      </c>
      <c r="F995" s="1"/>
      <c r="G995" s="1" t="s">
        <v>49</v>
      </c>
      <c r="H995" s="1" t="s">
        <v>50</v>
      </c>
      <c r="I995" s="1">
        <v>25000.0</v>
      </c>
      <c r="J995" s="1"/>
      <c r="K995" s="1" t="s">
        <v>51</v>
      </c>
      <c r="L995" s="1"/>
      <c r="M995" s="1" t="s">
        <v>4261</v>
      </c>
      <c r="N995" s="1" t="s">
        <v>283</v>
      </c>
      <c r="O995" s="1" t="s">
        <v>284</v>
      </c>
      <c r="P995" s="2">
        <v>43796.5561226852</v>
      </c>
      <c r="Q995" s="1" t="s">
        <v>74</v>
      </c>
      <c r="R995" s="1"/>
      <c r="S995" s="1"/>
      <c r="T995" s="1">
        <v>3304557.0</v>
      </c>
      <c r="U995" s="1" t="s">
        <v>286</v>
      </c>
      <c r="V995" s="1" t="s">
        <v>287</v>
      </c>
      <c r="W995" s="1" t="s">
        <v>288</v>
      </c>
      <c r="X995" s="1"/>
      <c r="Y995" s="1"/>
      <c r="Z995" s="1"/>
      <c r="AA995" s="1" t="s">
        <v>289</v>
      </c>
      <c r="AB995" s="1" t="str">
        <f>"33000167000101"</f>
        <v>33000167000101</v>
      </c>
      <c r="AC995" s="1"/>
      <c r="AD995" s="1" t="s">
        <v>149</v>
      </c>
      <c r="AE995" s="1"/>
      <c r="AF995" s="1">
        <v>-40.029305</v>
      </c>
      <c r="AG995" s="1">
        <v>-23.620277</v>
      </c>
      <c r="AH995" s="1" t="s">
        <v>4262</v>
      </c>
      <c r="AI995" s="1"/>
      <c r="AJ995" s="1" t="s">
        <v>172</v>
      </c>
      <c r="AK995" s="1"/>
      <c r="AL995" s="1"/>
      <c r="AM995" s="1" t="s">
        <v>65</v>
      </c>
      <c r="AN995" s="1" t="s">
        <v>720</v>
      </c>
      <c r="AO995" s="1"/>
      <c r="AP995" s="2">
        <v>44036.7355787037</v>
      </c>
      <c r="AQ995" s="1"/>
      <c r="AR995" s="1" t="s">
        <v>4263</v>
      </c>
      <c r="AS995" s="1" t="s">
        <v>4264</v>
      </c>
      <c r="AT995" s="2">
        <v>44269.931099537</v>
      </c>
    </row>
    <row r="996" ht="13.5" customHeight="1">
      <c r="A996" s="1"/>
      <c r="B996" s="1" t="s">
        <v>46</v>
      </c>
      <c r="C996" s="1" t="s">
        <v>47</v>
      </c>
      <c r="D996" s="1"/>
      <c r="E996" s="1" t="s">
        <v>4265</v>
      </c>
      <c r="F996" s="1"/>
      <c r="G996" s="1" t="s">
        <v>49</v>
      </c>
      <c r="H996" s="1" t="s">
        <v>50</v>
      </c>
      <c r="I996" s="1">
        <v>4300.0</v>
      </c>
      <c r="J996" s="1"/>
      <c r="K996" s="1" t="s">
        <v>140</v>
      </c>
      <c r="L996" s="1"/>
      <c r="M996" s="1" t="s">
        <v>4266</v>
      </c>
      <c r="N996" s="1" t="s">
        <v>53</v>
      </c>
      <c r="O996" s="1" t="s">
        <v>54</v>
      </c>
      <c r="P996" s="2">
        <v>43796.5518171296</v>
      </c>
      <c r="Q996" s="1" t="s">
        <v>373</v>
      </c>
      <c r="R996" s="1"/>
      <c r="S996" s="1"/>
      <c r="T996" s="1">
        <v>2300200.0</v>
      </c>
      <c r="U996" s="1" t="s">
        <v>1365</v>
      </c>
      <c r="V996" s="1" t="s">
        <v>112</v>
      </c>
      <c r="W996" s="1" t="s">
        <v>288</v>
      </c>
      <c r="X996" s="1"/>
      <c r="Y996" s="1" t="str">
        <f>"02001021146202066"</f>
        <v>02001021146202066</v>
      </c>
      <c r="Z996" s="1" t="s">
        <v>60</v>
      </c>
      <c r="AA996" s="1" t="s">
        <v>4257</v>
      </c>
      <c r="AB996" s="1" t="str">
        <f>"04720877000108"</f>
        <v>04720877000108</v>
      </c>
      <c r="AC996" s="1"/>
      <c r="AD996" s="1" t="s">
        <v>62</v>
      </c>
      <c r="AE996" s="1"/>
      <c r="AF996" s="1">
        <v>-40.122776</v>
      </c>
      <c r="AG996" s="1">
        <v>-2.878334</v>
      </c>
      <c r="AH996" s="1" t="s">
        <v>4258</v>
      </c>
      <c r="AI996" s="1"/>
      <c r="AJ996" s="1" t="s">
        <v>172</v>
      </c>
      <c r="AK996" s="1"/>
      <c r="AL996" s="1"/>
      <c r="AM996" s="1" t="s">
        <v>65</v>
      </c>
      <c r="AN996" s="1" t="s">
        <v>2722</v>
      </c>
      <c r="AO996" s="1"/>
      <c r="AP996" s="2">
        <v>44091.7623842593</v>
      </c>
      <c r="AQ996" s="1"/>
      <c r="AR996" s="1" t="s">
        <v>4267</v>
      </c>
      <c r="AS996" s="1"/>
      <c r="AT996" s="2">
        <v>44269.931099537</v>
      </c>
    </row>
    <row r="997" ht="13.5" customHeight="1">
      <c r="A997" s="1">
        <v>2035220.0</v>
      </c>
      <c r="B997" s="1" t="s">
        <v>67</v>
      </c>
      <c r="C997" s="1" t="s">
        <v>68</v>
      </c>
      <c r="D997" s="1" t="s">
        <v>46</v>
      </c>
      <c r="E997" s="1" t="s">
        <v>4268</v>
      </c>
      <c r="F997" s="1"/>
      <c r="G997" s="1" t="s">
        <v>70</v>
      </c>
      <c r="H997" s="1" t="s">
        <v>93</v>
      </c>
      <c r="I997" s="1">
        <v>1000.0</v>
      </c>
      <c r="J997" s="1"/>
      <c r="K997" s="1"/>
      <c r="L997" s="1" t="s">
        <v>537</v>
      </c>
      <c r="M997" s="1" t="s">
        <v>4269</v>
      </c>
      <c r="N997" s="1" t="s">
        <v>95</v>
      </c>
      <c r="O997" s="1" t="s">
        <v>96</v>
      </c>
      <c r="P997" s="2">
        <v>43796.5416666667</v>
      </c>
      <c r="Q997" s="1" t="s">
        <v>74</v>
      </c>
      <c r="R997" s="3">
        <v>43796.0</v>
      </c>
      <c r="S997" s="1"/>
      <c r="T997" s="1">
        <v>2110005.0</v>
      </c>
      <c r="U997" s="1" t="s">
        <v>4200</v>
      </c>
      <c r="V997" s="1" t="s">
        <v>540</v>
      </c>
      <c r="W997" s="1" t="s">
        <v>177</v>
      </c>
      <c r="X997" s="1"/>
      <c r="Y997" s="1" t="str">
        <f>"02012000596202096"</f>
        <v>02012000596202096</v>
      </c>
      <c r="Z997" s="1" t="s">
        <v>98</v>
      </c>
      <c r="AA997" s="1" t="s">
        <v>4201</v>
      </c>
      <c r="AB997" s="1" t="str">
        <f>"***351413**"</f>
        <v>***351413**</v>
      </c>
      <c r="AC997" s="1"/>
      <c r="AD997" s="1"/>
      <c r="AE997" s="1"/>
      <c r="AF997" s="1">
        <v>-45.665836</v>
      </c>
      <c r="AG997" s="1">
        <v>-3.961389</v>
      </c>
      <c r="AH997" s="1" t="s">
        <v>4270</v>
      </c>
      <c r="AI997" s="1"/>
      <c r="AJ997" s="1" t="s">
        <v>537</v>
      </c>
      <c r="AK997" s="1"/>
      <c r="AL997" s="1" t="s">
        <v>79</v>
      </c>
      <c r="AM997" s="1" t="s">
        <v>65</v>
      </c>
      <c r="AN997" s="1" t="s">
        <v>4203</v>
      </c>
      <c r="AO997" s="2">
        <v>43896.0</v>
      </c>
      <c r="AP997" s="2">
        <v>43896.6925694444</v>
      </c>
      <c r="AQ997" s="1" t="s">
        <v>80</v>
      </c>
      <c r="AR997" s="1" t="s">
        <v>481</v>
      </c>
      <c r="AS997" s="1"/>
      <c r="AT997" s="2">
        <v>44269.931099537</v>
      </c>
    </row>
    <row r="998" ht="13.5" customHeight="1">
      <c r="A998" s="1">
        <v>2036129.0</v>
      </c>
      <c r="B998" s="1" t="s">
        <v>67</v>
      </c>
      <c r="C998" s="1" t="s">
        <v>68</v>
      </c>
      <c r="D998" s="1" t="s">
        <v>46</v>
      </c>
      <c r="E998" s="1" t="s">
        <v>4271</v>
      </c>
      <c r="F998" s="1"/>
      <c r="G998" s="1" t="s">
        <v>70</v>
      </c>
      <c r="H998" s="1" t="s">
        <v>93</v>
      </c>
      <c r="I998" s="1">
        <v>14900.0</v>
      </c>
      <c r="J998" s="1"/>
      <c r="K998" s="1"/>
      <c r="L998" s="1" t="s">
        <v>172</v>
      </c>
      <c r="M998" s="1" t="s">
        <v>4272</v>
      </c>
      <c r="N998" s="1" t="s">
        <v>53</v>
      </c>
      <c r="O998" s="1" t="s">
        <v>54</v>
      </c>
      <c r="P998" s="2">
        <v>43796.5416666667</v>
      </c>
      <c r="Q998" s="1" t="s">
        <v>373</v>
      </c>
      <c r="R998" s="3">
        <v>43796.0</v>
      </c>
      <c r="S998" s="1"/>
      <c r="T998" s="1">
        <v>2611606.0</v>
      </c>
      <c r="U998" s="1" t="s">
        <v>4246</v>
      </c>
      <c r="V998" s="1" t="s">
        <v>1037</v>
      </c>
      <c r="W998" s="1" t="s">
        <v>288</v>
      </c>
      <c r="X998" s="1"/>
      <c r="Y998" s="1" t="str">
        <f>"02001010082202078"</f>
        <v>02001010082202078</v>
      </c>
      <c r="Z998" s="1" t="s">
        <v>60</v>
      </c>
      <c r="AA998" s="1" t="s">
        <v>4273</v>
      </c>
      <c r="AB998" s="1" t="str">
        <f>"***843774**"</f>
        <v>***843774**</v>
      </c>
      <c r="AC998" s="1"/>
      <c r="AD998" s="1"/>
      <c r="AE998" s="1"/>
      <c r="AF998" s="1">
        <v>-34.894726</v>
      </c>
      <c r="AG998" s="1">
        <v>-8.088611</v>
      </c>
      <c r="AH998" s="1" t="s">
        <v>4274</v>
      </c>
      <c r="AI998" s="1"/>
      <c r="AJ998" s="1" t="s">
        <v>172</v>
      </c>
      <c r="AK998" s="1"/>
      <c r="AL998" s="1" t="s">
        <v>79</v>
      </c>
      <c r="AM998" s="1" t="s">
        <v>65</v>
      </c>
      <c r="AN998" s="1" t="s">
        <v>2722</v>
      </c>
      <c r="AO998" s="2">
        <v>43936.0</v>
      </c>
      <c r="AP998" s="2">
        <v>43936.7167592593</v>
      </c>
      <c r="AQ998" s="1" t="s">
        <v>80</v>
      </c>
      <c r="AR998" s="1" t="s">
        <v>1428</v>
      </c>
      <c r="AS998" s="1"/>
      <c r="AT998" s="2">
        <v>44269.931099537</v>
      </c>
    </row>
    <row r="999" ht="13.5" customHeight="1">
      <c r="A999" s="1">
        <v>2039066.0</v>
      </c>
      <c r="B999" s="1" t="s">
        <v>67</v>
      </c>
      <c r="C999" s="1" t="s">
        <v>68</v>
      </c>
      <c r="D999" s="1" t="s">
        <v>46</v>
      </c>
      <c r="E999" s="1" t="s">
        <v>4275</v>
      </c>
      <c r="F999" s="1"/>
      <c r="G999" s="1" t="s">
        <v>70</v>
      </c>
      <c r="H999" s="1" t="s">
        <v>50</v>
      </c>
      <c r="I999" s="1">
        <v>15000.0</v>
      </c>
      <c r="J999" s="1"/>
      <c r="K999" s="1"/>
      <c r="L999" s="1" t="s">
        <v>1172</v>
      </c>
      <c r="M999" s="1" t="s">
        <v>4276</v>
      </c>
      <c r="N999" s="1" t="s">
        <v>142</v>
      </c>
      <c r="O999" s="1" t="s">
        <v>143</v>
      </c>
      <c r="P999" s="2">
        <v>43796.5416666667</v>
      </c>
      <c r="Q999" s="1" t="s">
        <v>74</v>
      </c>
      <c r="R999" s="1"/>
      <c r="S999" s="1"/>
      <c r="T999" s="1">
        <v>1505486.0</v>
      </c>
      <c r="U999" s="1" t="s">
        <v>3446</v>
      </c>
      <c r="V999" s="1" t="s">
        <v>193</v>
      </c>
      <c r="W999" s="1" t="s">
        <v>177</v>
      </c>
      <c r="X999" s="1"/>
      <c r="Y999" s="1"/>
      <c r="Z999" s="1" t="s">
        <v>147</v>
      </c>
      <c r="AA999" s="1" t="s">
        <v>4277</v>
      </c>
      <c r="AB999" s="1" t="str">
        <f t="shared" ref="AB999:AB1000" si="46">"***883932**"</f>
        <v>***883932**</v>
      </c>
      <c r="AC999" s="1"/>
      <c r="AD999" s="1"/>
      <c r="AE999" s="1"/>
      <c r="AF999" s="1">
        <v>-50.978611</v>
      </c>
      <c r="AG999" s="1">
        <v>-3.288889</v>
      </c>
      <c r="AH999" s="1" t="s">
        <v>4278</v>
      </c>
      <c r="AI999" s="1"/>
      <c r="AJ999" s="1" t="s">
        <v>1172</v>
      </c>
      <c r="AK999" s="1"/>
      <c r="AL999" s="1" t="s">
        <v>79</v>
      </c>
      <c r="AM999" s="1" t="s">
        <v>65</v>
      </c>
      <c r="AN999" s="1" t="s">
        <v>3087</v>
      </c>
      <c r="AO999" s="2">
        <v>44053.0</v>
      </c>
      <c r="AP999" s="2">
        <v>44053.7206597222</v>
      </c>
      <c r="AQ999" s="1" t="s">
        <v>80</v>
      </c>
      <c r="AR999" s="1" t="s">
        <v>1607</v>
      </c>
      <c r="AS999" s="1"/>
      <c r="AT999" s="2">
        <v>44269.931099537</v>
      </c>
    </row>
    <row r="1000" ht="13.5" customHeight="1">
      <c r="A1000" s="1">
        <v>2039067.0</v>
      </c>
      <c r="B1000" s="1" t="s">
        <v>67</v>
      </c>
      <c r="C1000" s="1" t="s">
        <v>68</v>
      </c>
      <c r="D1000" s="1" t="s">
        <v>46</v>
      </c>
      <c r="E1000" s="1" t="s">
        <v>4279</v>
      </c>
      <c r="F1000" s="1"/>
      <c r="G1000" s="1" t="s">
        <v>70</v>
      </c>
      <c r="H1000" s="1" t="s">
        <v>93</v>
      </c>
      <c r="I1000" s="1">
        <v>75000.0</v>
      </c>
      <c r="J1000" s="1"/>
      <c r="K1000" s="1"/>
      <c r="L1000" s="1" t="s">
        <v>1172</v>
      </c>
      <c r="M1000" s="1" t="s">
        <v>4280</v>
      </c>
      <c r="N1000" s="1" t="s">
        <v>142</v>
      </c>
      <c r="O1000" s="1" t="s">
        <v>143</v>
      </c>
      <c r="P1000" s="2">
        <v>43796.5416666667</v>
      </c>
      <c r="Q1000" s="1" t="s">
        <v>74</v>
      </c>
      <c r="R1000" s="1"/>
      <c r="S1000" s="1"/>
      <c r="T1000" s="1">
        <v>1505486.0</v>
      </c>
      <c r="U1000" s="1" t="s">
        <v>3446</v>
      </c>
      <c r="V1000" s="1" t="s">
        <v>193</v>
      </c>
      <c r="W1000" s="1" t="s">
        <v>177</v>
      </c>
      <c r="X1000" s="1"/>
      <c r="Y1000" s="1"/>
      <c r="Z1000" s="1" t="s">
        <v>147</v>
      </c>
      <c r="AA1000" s="1" t="s">
        <v>4277</v>
      </c>
      <c r="AB1000" s="1" t="str">
        <f t="shared" si="46"/>
        <v>***883932**</v>
      </c>
      <c r="AC1000" s="1"/>
      <c r="AD1000" s="1"/>
      <c r="AE1000" s="1"/>
      <c r="AF1000" s="1">
        <v>-50.978889</v>
      </c>
      <c r="AG1000" s="1">
        <v>-3.288889</v>
      </c>
      <c r="AH1000" s="1" t="s">
        <v>4281</v>
      </c>
      <c r="AI1000" s="1"/>
      <c r="AJ1000" s="1" t="s">
        <v>1172</v>
      </c>
      <c r="AK1000" s="1"/>
      <c r="AL1000" s="1" t="s">
        <v>79</v>
      </c>
      <c r="AM1000" s="1" t="s">
        <v>65</v>
      </c>
      <c r="AN1000" s="1" t="s">
        <v>3087</v>
      </c>
      <c r="AO1000" s="2">
        <v>44054.0</v>
      </c>
      <c r="AP1000" s="2">
        <v>44054.3344328704</v>
      </c>
      <c r="AQ1000" s="1" t="s">
        <v>80</v>
      </c>
      <c r="AR1000" s="1" t="s">
        <v>392</v>
      </c>
      <c r="AS1000" s="1"/>
      <c r="AT1000" s="2">
        <v>44269.931099537</v>
      </c>
    </row>
    <row r="1001" ht="13.5" customHeight="1">
      <c r="A1001" s="1"/>
      <c r="B1001" s="1" t="s">
        <v>46</v>
      </c>
      <c r="C1001" s="1" t="s">
        <v>47</v>
      </c>
      <c r="D1001" s="1"/>
      <c r="E1001" s="1" t="s">
        <v>4282</v>
      </c>
      <c r="F1001" s="1"/>
      <c r="G1001" s="1" t="s">
        <v>49</v>
      </c>
      <c r="H1001" s="1" t="s">
        <v>93</v>
      </c>
      <c r="I1001" s="1">
        <v>35000.0</v>
      </c>
      <c r="J1001" s="1"/>
      <c r="K1001" s="1"/>
      <c r="L1001" s="1"/>
      <c r="M1001" s="1" t="s">
        <v>4283</v>
      </c>
      <c r="N1001" s="1" t="s">
        <v>95</v>
      </c>
      <c r="O1001" s="1" t="s">
        <v>96</v>
      </c>
      <c r="P1001" s="2">
        <v>43796.5246990741</v>
      </c>
      <c r="Q1001" s="1" t="s">
        <v>74</v>
      </c>
      <c r="R1001" s="3">
        <v>43782.0</v>
      </c>
      <c r="S1001" s="1"/>
      <c r="T1001" s="1">
        <v>3550308.0</v>
      </c>
      <c r="U1001" s="1" t="s">
        <v>607</v>
      </c>
      <c r="V1001" s="1" t="s">
        <v>58</v>
      </c>
      <c r="W1001" s="1" t="s">
        <v>59</v>
      </c>
      <c r="X1001" s="1"/>
      <c r="Y1001" s="1"/>
      <c r="Z1001" s="1" t="s">
        <v>98</v>
      </c>
      <c r="AA1001" s="1" t="s">
        <v>4284</v>
      </c>
      <c r="AB1001" s="1" t="str">
        <f>"***331138**"</f>
        <v>***331138**</v>
      </c>
      <c r="AC1001" s="1"/>
      <c r="AD1001" s="1" t="s">
        <v>149</v>
      </c>
      <c r="AE1001" s="1"/>
      <c r="AF1001" s="1">
        <v>-46.700558</v>
      </c>
      <c r="AG1001" s="1">
        <v>-23.762501</v>
      </c>
      <c r="AH1001" s="1" t="s">
        <v>4285</v>
      </c>
      <c r="AI1001" s="1"/>
      <c r="AJ1001" s="1" t="s">
        <v>172</v>
      </c>
      <c r="AK1001" s="1"/>
      <c r="AL1001" s="1"/>
      <c r="AM1001" s="1" t="s">
        <v>65</v>
      </c>
      <c r="AN1001" s="1" t="s">
        <v>4286</v>
      </c>
      <c r="AO1001" s="1"/>
      <c r="AP1001" s="2">
        <v>43796.5502777778</v>
      </c>
      <c r="AQ1001" s="1"/>
      <c r="AR1001" s="1" t="s">
        <v>153</v>
      </c>
      <c r="AS1001" s="1" t="s">
        <v>4287</v>
      </c>
      <c r="AT1001" s="2">
        <v>44269.931099537</v>
      </c>
    </row>
    <row r="1002" ht="13.5" customHeight="1">
      <c r="A1002" s="1">
        <v>2034584.0</v>
      </c>
      <c r="B1002" s="1" t="s">
        <v>67</v>
      </c>
      <c r="C1002" s="1" t="s">
        <v>68</v>
      </c>
      <c r="D1002" s="1" t="s">
        <v>46</v>
      </c>
      <c r="E1002" s="1" t="s">
        <v>4288</v>
      </c>
      <c r="F1002" s="1"/>
      <c r="G1002" s="1" t="s">
        <v>70</v>
      </c>
      <c r="H1002" s="1" t="s">
        <v>50</v>
      </c>
      <c r="I1002" s="1">
        <v>45000.0</v>
      </c>
      <c r="J1002" s="1"/>
      <c r="K1002" s="1"/>
      <c r="L1002" s="1" t="s">
        <v>65</v>
      </c>
      <c r="M1002" s="1" t="s">
        <v>4289</v>
      </c>
      <c r="N1002" s="1" t="s">
        <v>283</v>
      </c>
      <c r="O1002" s="1" t="s">
        <v>978</v>
      </c>
      <c r="P1002" s="2">
        <v>43796.5</v>
      </c>
      <c r="Q1002" s="1" t="s">
        <v>74</v>
      </c>
      <c r="R1002" s="3">
        <v>43796.0</v>
      </c>
      <c r="S1002" s="1"/>
      <c r="T1002" s="1">
        <v>4208203.0</v>
      </c>
      <c r="U1002" s="1" t="s">
        <v>735</v>
      </c>
      <c r="V1002" s="1" t="s">
        <v>267</v>
      </c>
      <c r="W1002" s="1" t="s">
        <v>59</v>
      </c>
      <c r="X1002" s="1"/>
      <c r="Y1002" s="1" t="str">
        <f>"02001035040201914"</f>
        <v>02001035040201914</v>
      </c>
      <c r="Z1002" s="1" t="s">
        <v>980</v>
      </c>
      <c r="AA1002" s="1" t="s">
        <v>4290</v>
      </c>
      <c r="AB1002" s="1" t="str">
        <f>"06249926000100"</f>
        <v>06249926000100</v>
      </c>
      <c r="AC1002" s="1"/>
      <c r="AD1002" s="1" t="s">
        <v>116</v>
      </c>
      <c r="AE1002" s="1"/>
      <c r="AF1002" s="1">
        <v>-48.661667</v>
      </c>
      <c r="AG1002" s="1">
        <v>-26.907778</v>
      </c>
      <c r="AH1002" s="1" t="s">
        <v>4291</v>
      </c>
      <c r="AI1002" s="1"/>
      <c r="AJ1002" s="1" t="s">
        <v>172</v>
      </c>
      <c r="AK1002" s="1"/>
      <c r="AL1002" s="1" t="s">
        <v>118</v>
      </c>
      <c r="AM1002" s="1" t="s">
        <v>65</v>
      </c>
      <c r="AN1002" s="1" t="s">
        <v>983</v>
      </c>
      <c r="AO1002" s="2">
        <v>43888.0</v>
      </c>
      <c r="AP1002" s="2">
        <v>44145.4780439815</v>
      </c>
      <c r="AQ1002" s="1" t="s">
        <v>80</v>
      </c>
      <c r="AR1002" s="1" t="s">
        <v>4292</v>
      </c>
      <c r="AS1002" s="1" t="s">
        <v>4086</v>
      </c>
      <c r="AT1002" s="2">
        <v>44269.931099537</v>
      </c>
    </row>
    <row r="1003" ht="13.5" customHeight="1">
      <c r="A1003" s="1">
        <v>2034777.0</v>
      </c>
      <c r="B1003" s="1" t="s">
        <v>67</v>
      </c>
      <c r="C1003" s="1" t="s">
        <v>68</v>
      </c>
      <c r="D1003" s="1" t="s">
        <v>46</v>
      </c>
      <c r="E1003" s="1" t="s">
        <v>4293</v>
      </c>
      <c r="F1003" s="1"/>
      <c r="G1003" s="1" t="s">
        <v>70</v>
      </c>
      <c r="H1003" s="1" t="s">
        <v>93</v>
      </c>
      <c r="I1003" s="1">
        <v>1000.0</v>
      </c>
      <c r="J1003" s="1"/>
      <c r="K1003" s="1"/>
      <c r="L1003" s="1" t="s">
        <v>172</v>
      </c>
      <c r="M1003" s="1" t="s">
        <v>4294</v>
      </c>
      <c r="N1003" s="1" t="s">
        <v>283</v>
      </c>
      <c r="O1003" s="1" t="s">
        <v>1364</v>
      </c>
      <c r="P1003" s="2">
        <v>43796.5</v>
      </c>
      <c r="Q1003" s="1" t="s">
        <v>373</v>
      </c>
      <c r="R1003" s="3">
        <v>43796.0</v>
      </c>
      <c r="S1003" s="1"/>
      <c r="T1003" s="1">
        <v>1506807.0</v>
      </c>
      <c r="U1003" s="1" t="s">
        <v>1026</v>
      </c>
      <c r="V1003" s="1" t="s">
        <v>193</v>
      </c>
      <c r="W1003" s="1" t="s">
        <v>177</v>
      </c>
      <c r="X1003" s="1"/>
      <c r="Y1003" s="1" t="str">
        <f>"02001005458202022"</f>
        <v>02001005458202022</v>
      </c>
      <c r="Z1003" s="1" t="s">
        <v>128</v>
      </c>
      <c r="AA1003" s="1" t="s">
        <v>4295</v>
      </c>
      <c r="AB1003" s="1" t="str">
        <f>"***001912**"</f>
        <v>***001912**</v>
      </c>
      <c r="AC1003" s="1"/>
      <c r="AD1003" s="1"/>
      <c r="AE1003" s="1"/>
      <c r="AF1003" s="1">
        <v>-54.731388</v>
      </c>
      <c r="AG1003" s="1">
        <v>-2.421111</v>
      </c>
      <c r="AH1003" s="1" t="s">
        <v>4296</v>
      </c>
      <c r="AI1003" s="1"/>
      <c r="AJ1003" s="1" t="s">
        <v>172</v>
      </c>
      <c r="AK1003" s="1"/>
      <c r="AL1003" s="1" t="s">
        <v>79</v>
      </c>
      <c r="AM1003" s="1" t="s">
        <v>65</v>
      </c>
      <c r="AN1003" s="1" t="s">
        <v>1395</v>
      </c>
      <c r="AO1003" s="2">
        <v>43889.0</v>
      </c>
      <c r="AP1003" s="2">
        <v>43889.7544560185</v>
      </c>
      <c r="AQ1003" s="1" t="s">
        <v>80</v>
      </c>
      <c r="AR1003" s="1" t="s">
        <v>4297</v>
      </c>
      <c r="AS1003" s="1"/>
      <c r="AT1003" s="2">
        <v>44269.931099537</v>
      </c>
    </row>
    <row r="1004" ht="13.5" customHeight="1">
      <c r="A1004" s="1">
        <v>2034916.0</v>
      </c>
      <c r="B1004" s="1" t="s">
        <v>67</v>
      </c>
      <c r="C1004" s="1" t="s">
        <v>68</v>
      </c>
      <c r="D1004" s="1" t="s">
        <v>46</v>
      </c>
      <c r="E1004" s="1" t="s">
        <v>4298</v>
      </c>
      <c r="F1004" s="1"/>
      <c r="G1004" s="1" t="s">
        <v>70</v>
      </c>
      <c r="H1004" s="1" t="s">
        <v>93</v>
      </c>
      <c r="I1004" s="1">
        <v>36036.0</v>
      </c>
      <c r="J1004" s="1"/>
      <c r="K1004" s="1"/>
      <c r="L1004" s="1" t="s">
        <v>151</v>
      </c>
      <c r="M1004" s="1" t="s">
        <v>4299</v>
      </c>
      <c r="N1004" s="1" t="s">
        <v>142</v>
      </c>
      <c r="O1004" s="1" t="s">
        <v>143</v>
      </c>
      <c r="P1004" s="2">
        <v>43796.5</v>
      </c>
      <c r="Q1004" s="1" t="s">
        <v>74</v>
      </c>
      <c r="R1004" s="3">
        <v>43796.0</v>
      </c>
      <c r="S1004" s="1"/>
      <c r="T1004" s="1">
        <v>4318101.0</v>
      </c>
      <c r="U1004" s="1" t="s">
        <v>3295</v>
      </c>
      <c r="V1004" s="1" t="s">
        <v>145</v>
      </c>
      <c r="W1004" s="1" t="s">
        <v>146</v>
      </c>
      <c r="X1004" s="1"/>
      <c r="Y1004" s="1" t="str">
        <f>"02023003605201938"</f>
        <v>02023003605201938</v>
      </c>
      <c r="Z1004" s="1" t="s">
        <v>147</v>
      </c>
      <c r="AA1004" s="1" t="s">
        <v>3296</v>
      </c>
      <c r="AB1004" s="1" t="str">
        <f>"***903310**"</f>
        <v>***903310**</v>
      </c>
      <c r="AC1004" s="1"/>
      <c r="AD1004" s="1"/>
      <c r="AE1004" s="1"/>
      <c r="AF1004" s="1">
        <v>-55.19278</v>
      </c>
      <c r="AG1004" s="1">
        <v>-29.27861</v>
      </c>
      <c r="AH1004" s="1" t="s">
        <v>4300</v>
      </c>
      <c r="AI1004" s="1"/>
      <c r="AJ1004" s="1" t="s">
        <v>151</v>
      </c>
      <c r="AK1004" s="1"/>
      <c r="AL1004" s="1" t="s">
        <v>79</v>
      </c>
      <c r="AM1004" s="1" t="s">
        <v>65</v>
      </c>
      <c r="AN1004" s="1" t="s">
        <v>709</v>
      </c>
      <c r="AO1004" s="2">
        <v>43892.0</v>
      </c>
      <c r="AP1004" s="2">
        <v>43892.7063541667</v>
      </c>
      <c r="AQ1004" s="1" t="s">
        <v>80</v>
      </c>
      <c r="AR1004" s="1" t="s">
        <v>656</v>
      </c>
      <c r="AS1004" s="1"/>
      <c r="AT1004" s="2">
        <v>44269.931099537</v>
      </c>
    </row>
    <row r="1005" ht="13.5" customHeight="1">
      <c r="A1005" s="1">
        <v>2039062.0</v>
      </c>
      <c r="B1005" s="1" t="s">
        <v>67</v>
      </c>
      <c r="C1005" s="1" t="s">
        <v>68</v>
      </c>
      <c r="D1005" s="1" t="s">
        <v>46</v>
      </c>
      <c r="E1005" s="1" t="s">
        <v>4301</v>
      </c>
      <c r="F1005" s="1"/>
      <c r="G1005" s="1" t="s">
        <v>70</v>
      </c>
      <c r="H1005" s="1" t="s">
        <v>93</v>
      </c>
      <c r="I1005" s="1">
        <v>225000.0</v>
      </c>
      <c r="J1005" s="1"/>
      <c r="K1005" s="1"/>
      <c r="L1005" s="1" t="s">
        <v>1172</v>
      </c>
      <c r="M1005" s="1" t="s">
        <v>4302</v>
      </c>
      <c r="N1005" s="1" t="s">
        <v>142</v>
      </c>
      <c r="O1005" s="1" t="s">
        <v>143</v>
      </c>
      <c r="P1005" s="2">
        <v>43796.5</v>
      </c>
      <c r="Q1005" s="1" t="s">
        <v>74</v>
      </c>
      <c r="R1005" s="1"/>
      <c r="S1005" s="1"/>
      <c r="T1005" s="1">
        <v>1505486.0</v>
      </c>
      <c r="U1005" s="1" t="s">
        <v>3446</v>
      </c>
      <c r="V1005" s="1" t="s">
        <v>193</v>
      </c>
      <c r="W1005" s="1" t="s">
        <v>177</v>
      </c>
      <c r="X1005" s="1"/>
      <c r="Y1005" s="1"/>
      <c r="Z1005" s="1" t="s">
        <v>147</v>
      </c>
      <c r="AA1005" s="1" t="s">
        <v>4277</v>
      </c>
      <c r="AB1005" s="1" t="str">
        <f t="shared" ref="AB1005:AB1007" si="47">"***883932**"</f>
        <v>***883932**</v>
      </c>
      <c r="AC1005" s="1"/>
      <c r="AD1005" s="1"/>
      <c r="AE1005" s="1"/>
      <c r="AF1005" s="1">
        <v>-50.985279</v>
      </c>
      <c r="AG1005" s="1">
        <v>-3.296111</v>
      </c>
      <c r="AH1005" s="1" t="s">
        <v>4303</v>
      </c>
      <c r="AI1005" s="1"/>
      <c r="AJ1005" s="1" t="s">
        <v>1172</v>
      </c>
      <c r="AK1005" s="1"/>
      <c r="AL1005" s="1" t="s">
        <v>79</v>
      </c>
      <c r="AM1005" s="1" t="s">
        <v>65</v>
      </c>
      <c r="AN1005" s="1" t="s">
        <v>3087</v>
      </c>
      <c r="AO1005" s="2">
        <v>44053.0</v>
      </c>
      <c r="AP1005" s="2">
        <v>44053.7012384259</v>
      </c>
      <c r="AQ1005" s="1" t="s">
        <v>80</v>
      </c>
      <c r="AR1005" s="1" t="s">
        <v>392</v>
      </c>
      <c r="AS1005" s="1"/>
      <c r="AT1005" s="2">
        <v>44269.931099537</v>
      </c>
    </row>
    <row r="1006" ht="13.5" customHeight="1">
      <c r="A1006" s="1">
        <v>2039063.0</v>
      </c>
      <c r="B1006" s="1" t="s">
        <v>67</v>
      </c>
      <c r="C1006" s="1" t="s">
        <v>68</v>
      </c>
      <c r="D1006" s="1" t="s">
        <v>46</v>
      </c>
      <c r="E1006" s="1" t="s">
        <v>4304</v>
      </c>
      <c r="F1006" s="1"/>
      <c r="G1006" s="1" t="s">
        <v>70</v>
      </c>
      <c r="H1006" s="1" t="s">
        <v>50</v>
      </c>
      <c r="I1006" s="1">
        <v>45000.0</v>
      </c>
      <c r="J1006" s="1"/>
      <c r="K1006" s="1"/>
      <c r="L1006" s="1" t="s">
        <v>1172</v>
      </c>
      <c r="M1006" s="1" t="s">
        <v>4305</v>
      </c>
      <c r="N1006" s="1" t="s">
        <v>142</v>
      </c>
      <c r="O1006" s="1" t="s">
        <v>143</v>
      </c>
      <c r="P1006" s="2">
        <v>43796.5</v>
      </c>
      <c r="Q1006" s="1" t="s">
        <v>74</v>
      </c>
      <c r="R1006" s="1"/>
      <c r="S1006" s="1"/>
      <c r="T1006" s="1">
        <v>1505486.0</v>
      </c>
      <c r="U1006" s="1" t="s">
        <v>3446</v>
      </c>
      <c r="V1006" s="1" t="s">
        <v>193</v>
      </c>
      <c r="W1006" s="1" t="s">
        <v>177</v>
      </c>
      <c r="X1006" s="1"/>
      <c r="Y1006" s="1"/>
      <c r="Z1006" s="1" t="s">
        <v>147</v>
      </c>
      <c r="AA1006" s="1" t="s">
        <v>4277</v>
      </c>
      <c r="AB1006" s="1" t="str">
        <f t="shared" si="47"/>
        <v>***883932**</v>
      </c>
      <c r="AC1006" s="1"/>
      <c r="AD1006" s="1"/>
      <c r="AE1006" s="1"/>
      <c r="AF1006" s="1">
        <v>-50.985832</v>
      </c>
      <c r="AG1006" s="1">
        <v>-3.296111</v>
      </c>
      <c r="AH1006" s="1" t="s">
        <v>4306</v>
      </c>
      <c r="AI1006" s="1"/>
      <c r="AJ1006" s="1" t="s">
        <v>1172</v>
      </c>
      <c r="AK1006" s="1"/>
      <c r="AL1006" s="1" t="s">
        <v>79</v>
      </c>
      <c r="AM1006" s="1" t="s">
        <v>65</v>
      </c>
      <c r="AN1006" s="1" t="s">
        <v>3087</v>
      </c>
      <c r="AO1006" s="2">
        <v>44053.0</v>
      </c>
      <c r="AP1006" s="2">
        <v>44053.7013541667</v>
      </c>
      <c r="AQ1006" s="1" t="s">
        <v>80</v>
      </c>
      <c r="AR1006" s="1" t="s">
        <v>1607</v>
      </c>
      <c r="AS1006" s="1"/>
      <c r="AT1006" s="2">
        <v>44269.931099537</v>
      </c>
    </row>
    <row r="1007" ht="13.5" customHeight="1">
      <c r="A1007" s="1">
        <v>2039065.0</v>
      </c>
      <c r="B1007" s="1" t="s">
        <v>67</v>
      </c>
      <c r="C1007" s="1" t="s">
        <v>68</v>
      </c>
      <c r="D1007" s="1" t="s">
        <v>46</v>
      </c>
      <c r="E1007" s="1" t="s">
        <v>4307</v>
      </c>
      <c r="F1007" s="1"/>
      <c r="G1007" s="1" t="s">
        <v>70</v>
      </c>
      <c r="H1007" s="1" t="s">
        <v>93</v>
      </c>
      <c r="I1007" s="1">
        <v>75000.0</v>
      </c>
      <c r="J1007" s="1"/>
      <c r="K1007" s="1"/>
      <c r="L1007" s="1" t="s">
        <v>1172</v>
      </c>
      <c r="M1007" s="1" t="s">
        <v>4308</v>
      </c>
      <c r="N1007" s="1" t="s">
        <v>142</v>
      </c>
      <c r="O1007" s="1" t="s">
        <v>143</v>
      </c>
      <c r="P1007" s="2">
        <v>43796.5</v>
      </c>
      <c r="Q1007" s="1" t="s">
        <v>74</v>
      </c>
      <c r="R1007" s="1"/>
      <c r="S1007" s="1"/>
      <c r="T1007" s="1">
        <v>1505486.0</v>
      </c>
      <c r="U1007" s="1" t="s">
        <v>3446</v>
      </c>
      <c r="V1007" s="1" t="s">
        <v>193</v>
      </c>
      <c r="W1007" s="1" t="s">
        <v>177</v>
      </c>
      <c r="X1007" s="1"/>
      <c r="Y1007" s="1" t="str">
        <f>"02047001294201902"</f>
        <v>02047001294201902</v>
      </c>
      <c r="Z1007" s="1" t="s">
        <v>147</v>
      </c>
      <c r="AA1007" s="1" t="s">
        <v>4277</v>
      </c>
      <c r="AB1007" s="1" t="str">
        <f t="shared" si="47"/>
        <v>***883932**</v>
      </c>
      <c r="AC1007" s="1"/>
      <c r="AD1007" s="1" t="s">
        <v>116</v>
      </c>
      <c r="AE1007" s="1"/>
      <c r="AF1007" s="1">
        <v>-50.978611</v>
      </c>
      <c r="AG1007" s="1">
        <v>-3.288889</v>
      </c>
      <c r="AH1007" s="1" t="s">
        <v>4309</v>
      </c>
      <c r="AI1007" s="1"/>
      <c r="AJ1007" s="1" t="s">
        <v>1172</v>
      </c>
      <c r="AK1007" s="1" t="s">
        <v>4040</v>
      </c>
      <c r="AL1007" s="1" t="s">
        <v>79</v>
      </c>
      <c r="AM1007" s="1" t="s">
        <v>65</v>
      </c>
      <c r="AN1007" s="1" t="s">
        <v>3087</v>
      </c>
      <c r="AO1007" s="2">
        <v>44053.0</v>
      </c>
      <c r="AP1007" s="2">
        <v>44264.7959375</v>
      </c>
      <c r="AQ1007" s="1" t="s">
        <v>80</v>
      </c>
      <c r="AR1007" s="1" t="s">
        <v>4310</v>
      </c>
      <c r="AS1007" s="1"/>
      <c r="AT1007" s="2">
        <v>44269.931099537</v>
      </c>
    </row>
    <row r="1008" ht="13.5" customHeight="1">
      <c r="A1008" s="1"/>
      <c r="B1008" s="1" t="s">
        <v>46</v>
      </c>
      <c r="C1008" s="1" t="s">
        <v>47</v>
      </c>
      <c r="D1008" s="1"/>
      <c r="E1008" s="1" t="s">
        <v>4311</v>
      </c>
      <c r="F1008" s="1"/>
      <c r="G1008" s="1" t="s">
        <v>49</v>
      </c>
      <c r="H1008" s="1" t="s">
        <v>93</v>
      </c>
      <c r="I1008" s="1">
        <v>5000.0</v>
      </c>
      <c r="J1008" s="1"/>
      <c r="K1008" s="1"/>
      <c r="L1008" s="1"/>
      <c r="M1008" s="1" t="s">
        <v>4312</v>
      </c>
      <c r="N1008" s="1" t="s">
        <v>142</v>
      </c>
      <c r="O1008" s="1" t="s">
        <v>143</v>
      </c>
      <c r="P1008" s="2">
        <v>43796.4612731482</v>
      </c>
      <c r="Q1008" s="1" t="s">
        <v>373</v>
      </c>
      <c r="R1008" s="1"/>
      <c r="S1008" s="1"/>
      <c r="T1008" s="1">
        <v>5006606.0</v>
      </c>
      <c r="U1008" s="1" t="s">
        <v>4194</v>
      </c>
      <c r="V1008" s="1" t="s">
        <v>529</v>
      </c>
      <c r="W1008" s="1" t="s">
        <v>59</v>
      </c>
      <c r="X1008" s="1"/>
      <c r="Y1008" s="1"/>
      <c r="Z1008" s="1" t="s">
        <v>147</v>
      </c>
      <c r="AA1008" s="1" t="s">
        <v>4313</v>
      </c>
      <c r="AB1008" s="1" t="str">
        <f>"***047431**"</f>
        <v>***047431**</v>
      </c>
      <c r="AC1008" s="1"/>
      <c r="AD1008" s="1" t="s">
        <v>62</v>
      </c>
      <c r="AE1008" s="1"/>
      <c r="AF1008" s="1">
        <v>-55.619164</v>
      </c>
      <c r="AG1008" s="1">
        <v>-22.141388</v>
      </c>
      <c r="AH1008" s="1" t="s">
        <v>4314</v>
      </c>
      <c r="AI1008" s="1"/>
      <c r="AJ1008" s="1" t="s">
        <v>533</v>
      </c>
      <c r="AK1008" s="1"/>
      <c r="AL1008" s="1"/>
      <c r="AM1008" s="1" t="s">
        <v>65</v>
      </c>
      <c r="AN1008" s="1" t="s">
        <v>4197</v>
      </c>
      <c r="AO1008" s="1"/>
      <c r="AP1008" s="2">
        <v>43796.472974537</v>
      </c>
      <c r="AQ1008" s="1"/>
      <c r="AR1008" s="1" t="s">
        <v>4315</v>
      </c>
      <c r="AS1008" s="1"/>
      <c r="AT1008" s="2">
        <v>44269.931099537</v>
      </c>
    </row>
    <row r="1009" ht="13.5" customHeight="1">
      <c r="A1009" s="1">
        <v>2036116.0</v>
      </c>
      <c r="B1009" s="1" t="s">
        <v>67</v>
      </c>
      <c r="C1009" s="1" t="s">
        <v>68</v>
      </c>
      <c r="D1009" s="1" t="s">
        <v>46</v>
      </c>
      <c r="E1009" s="1" t="s">
        <v>4316</v>
      </c>
      <c r="F1009" s="1"/>
      <c r="G1009" s="1" t="s">
        <v>70</v>
      </c>
      <c r="H1009" s="1" t="s">
        <v>93</v>
      </c>
      <c r="I1009" s="1">
        <v>400.0</v>
      </c>
      <c r="J1009" s="1"/>
      <c r="K1009" s="1"/>
      <c r="L1009" s="1" t="s">
        <v>172</v>
      </c>
      <c r="M1009" s="1" t="s">
        <v>4317</v>
      </c>
      <c r="N1009" s="1" t="s">
        <v>53</v>
      </c>
      <c r="O1009" s="1" t="s">
        <v>54</v>
      </c>
      <c r="P1009" s="2">
        <v>43796.4583333333</v>
      </c>
      <c r="Q1009" s="1" t="s">
        <v>55</v>
      </c>
      <c r="R1009" s="1"/>
      <c r="S1009" s="1"/>
      <c r="T1009" s="1">
        <v>2611606.0</v>
      </c>
      <c r="U1009" s="1" t="s">
        <v>4246</v>
      </c>
      <c r="V1009" s="1" t="s">
        <v>1037</v>
      </c>
      <c r="W1009" s="1" t="s">
        <v>288</v>
      </c>
      <c r="X1009" s="1"/>
      <c r="Y1009" s="1" t="str">
        <f>"02001010051202017"</f>
        <v>02001010051202017</v>
      </c>
      <c r="Z1009" s="1" t="s">
        <v>60</v>
      </c>
      <c r="AA1009" s="1" t="s">
        <v>4247</v>
      </c>
      <c r="AB1009" s="1" t="str">
        <f>"***494624**"</f>
        <v>***494624**</v>
      </c>
      <c r="AC1009" s="1"/>
      <c r="AD1009" s="1"/>
      <c r="AE1009" s="1"/>
      <c r="AF1009" s="1">
        <v>-34.894726</v>
      </c>
      <c r="AG1009" s="1">
        <v>-8.088888</v>
      </c>
      <c r="AH1009" s="1" t="s">
        <v>4318</v>
      </c>
      <c r="AI1009" s="1"/>
      <c r="AJ1009" s="1" t="s">
        <v>172</v>
      </c>
      <c r="AK1009" s="1"/>
      <c r="AL1009" s="1" t="s">
        <v>79</v>
      </c>
      <c r="AM1009" s="1" t="s">
        <v>65</v>
      </c>
      <c r="AN1009" s="1" t="s">
        <v>2722</v>
      </c>
      <c r="AO1009" s="2">
        <v>43936.0</v>
      </c>
      <c r="AP1009" s="2">
        <v>43936.541400463</v>
      </c>
      <c r="AQ1009" s="1" t="s">
        <v>80</v>
      </c>
      <c r="AR1009" s="1" t="s">
        <v>3772</v>
      </c>
      <c r="AS1009" s="1"/>
      <c r="AT1009" s="2">
        <v>44269.931099537</v>
      </c>
    </row>
    <row r="1010" ht="13.5" customHeight="1">
      <c r="A1010" s="1">
        <v>2037886.0</v>
      </c>
      <c r="B1010" s="1" t="s">
        <v>67</v>
      </c>
      <c r="C1010" s="1" t="s">
        <v>68</v>
      </c>
      <c r="D1010" s="1" t="s">
        <v>46</v>
      </c>
      <c r="E1010" s="1" t="s">
        <v>4319</v>
      </c>
      <c r="F1010" s="1"/>
      <c r="G1010" s="1" t="s">
        <v>70</v>
      </c>
      <c r="H1010" s="1" t="s">
        <v>93</v>
      </c>
      <c r="I1010" s="1">
        <v>1000.0</v>
      </c>
      <c r="J1010" s="1"/>
      <c r="K1010" s="1"/>
      <c r="L1010" s="1" t="s">
        <v>172</v>
      </c>
      <c r="M1010" s="1" t="s">
        <v>4294</v>
      </c>
      <c r="N1010" s="1" t="s">
        <v>283</v>
      </c>
      <c r="O1010" s="1" t="s">
        <v>1133</v>
      </c>
      <c r="P1010" s="2">
        <v>43796.4583333333</v>
      </c>
      <c r="Q1010" s="1" t="s">
        <v>373</v>
      </c>
      <c r="R1010" s="3">
        <v>43796.0</v>
      </c>
      <c r="S1010" s="1"/>
      <c r="T1010" s="1">
        <v>1506807.0</v>
      </c>
      <c r="U1010" s="1" t="s">
        <v>1026</v>
      </c>
      <c r="V1010" s="1" t="s">
        <v>193</v>
      </c>
      <c r="W1010" s="1" t="s">
        <v>177</v>
      </c>
      <c r="X1010" s="1"/>
      <c r="Y1010" s="1" t="str">
        <f>"02001015151202030"</f>
        <v>02001015151202030</v>
      </c>
      <c r="Z1010" s="1" t="s">
        <v>128</v>
      </c>
      <c r="AA1010" s="1" t="s">
        <v>4295</v>
      </c>
      <c r="AB1010" s="1" t="str">
        <f>"***001912**"</f>
        <v>***001912**</v>
      </c>
      <c r="AC1010" s="1"/>
      <c r="AD1010" s="1"/>
      <c r="AE1010" s="1"/>
      <c r="AF1010" s="1">
        <v>-54.731945</v>
      </c>
      <c r="AG1010" s="1">
        <v>-2.421111</v>
      </c>
      <c r="AH1010" s="1" t="s">
        <v>4320</v>
      </c>
      <c r="AI1010" s="1"/>
      <c r="AJ1010" s="1" t="s">
        <v>172</v>
      </c>
      <c r="AK1010" s="1"/>
      <c r="AL1010" s="1" t="s">
        <v>79</v>
      </c>
      <c r="AM1010" s="1" t="s">
        <v>65</v>
      </c>
      <c r="AN1010" s="1" t="s">
        <v>1395</v>
      </c>
      <c r="AO1010" s="2">
        <v>44013.0</v>
      </c>
      <c r="AP1010" s="2">
        <v>44013.6321180556</v>
      </c>
      <c r="AQ1010" s="1" t="s">
        <v>80</v>
      </c>
      <c r="AR1010" s="1" t="s">
        <v>4297</v>
      </c>
      <c r="AS1010" s="1"/>
      <c r="AT1010" s="2">
        <v>44269.931099537</v>
      </c>
    </row>
    <row r="1011" ht="13.5" customHeight="1">
      <c r="A1011" s="1"/>
      <c r="B1011" s="1" t="s">
        <v>46</v>
      </c>
      <c r="C1011" s="1" t="s">
        <v>47</v>
      </c>
      <c r="D1011" s="1"/>
      <c r="E1011" s="1" t="s">
        <v>4321</v>
      </c>
      <c r="F1011" s="1"/>
      <c r="G1011" s="1" t="s">
        <v>49</v>
      </c>
      <c r="H1011" s="1" t="s">
        <v>50</v>
      </c>
      <c r="I1011" s="1">
        <v>143500.0</v>
      </c>
      <c r="J1011" s="1"/>
      <c r="K1011" s="1" t="s">
        <v>51</v>
      </c>
      <c r="L1011" s="1"/>
      <c r="M1011" s="1" t="s">
        <v>4322</v>
      </c>
      <c r="N1011" s="1" t="s">
        <v>53</v>
      </c>
      <c r="O1011" s="1" t="s">
        <v>54</v>
      </c>
      <c r="P1011" s="2">
        <v>43796.4191203704</v>
      </c>
      <c r="Q1011" s="1" t="s">
        <v>55</v>
      </c>
      <c r="R1011" s="1"/>
      <c r="S1011" s="1"/>
      <c r="T1011" s="1">
        <v>1501402.0</v>
      </c>
      <c r="U1011" s="1" t="s">
        <v>192</v>
      </c>
      <c r="V1011" s="1" t="s">
        <v>193</v>
      </c>
      <c r="W1011" s="1" t="s">
        <v>177</v>
      </c>
      <c r="X1011" s="1"/>
      <c r="Y1011" s="1"/>
      <c r="Z1011" s="1" t="s">
        <v>60</v>
      </c>
      <c r="AA1011" s="1" t="s">
        <v>4323</v>
      </c>
      <c r="AB1011" s="1" t="str">
        <f>"34888420000178"</f>
        <v>34888420000178</v>
      </c>
      <c r="AC1011" s="1"/>
      <c r="AD1011" s="1" t="s">
        <v>62</v>
      </c>
      <c r="AE1011" s="1"/>
      <c r="AF1011" s="1">
        <v>-48.485556</v>
      </c>
      <c r="AG1011" s="1">
        <v>-1.379444</v>
      </c>
      <c r="AH1011" s="1" t="s">
        <v>4324</v>
      </c>
      <c r="AI1011" s="1"/>
      <c r="AJ1011" s="1" t="s">
        <v>196</v>
      </c>
      <c r="AK1011" s="1"/>
      <c r="AL1011" s="1"/>
      <c r="AM1011" s="1" t="s">
        <v>65</v>
      </c>
      <c r="AN1011" s="1" t="s">
        <v>197</v>
      </c>
      <c r="AO1011" s="1"/>
      <c r="AP1011" s="2">
        <v>44218.6361226852</v>
      </c>
      <c r="AQ1011" s="1"/>
      <c r="AR1011" s="1" t="s">
        <v>4325</v>
      </c>
      <c r="AS1011" s="1"/>
      <c r="AT1011" s="2">
        <v>44269.931099537</v>
      </c>
    </row>
    <row r="1012" ht="13.5" customHeight="1">
      <c r="A1012" s="1">
        <v>2035051.0</v>
      </c>
      <c r="B1012" s="1" t="s">
        <v>67</v>
      </c>
      <c r="C1012" s="1" t="s">
        <v>68</v>
      </c>
      <c r="D1012" s="1" t="s">
        <v>46</v>
      </c>
      <c r="E1012" s="1" t="s">
        <v>4326</v>
      </c>
      <c r="F1012" s="1"/>
      <c r="G1012" s="1" t="s">
        <v>70</v>
      </c>
      <c r="H1012" s="1" t="s">
        <v>50</v>
      </c>
      <c r="I1012" s="1">
        <v>65500.0</v>
      </c>
      <c r="J1012" s="1"/>
      <c r="K1012" s="1"/>
      <c r="L1012" s="1" t="s">
        <v>106</v>
      </c>
      <c r="M1012" s="1" t="s">
        <v>3801</v>
      </c>
      <c r="N1012" s="1" t="s">
        <v>95</v>
      </c>
      <c r="O1012" s="1" t="s">
        <v>96</v>
      </c>
      <c r="P1012" s="2">
        <v>43796.4166666667</v>
      </c>
      <c r="Q1012" s="1" t="s">
        <v>74</v>
      </c>
      <c r="R1012" s="3">
        <v>43796.0</v>
      </c>
      <c r="S1012" s="1"/>
      <c r="T1012" s="1">
        <v>2304400.0</v>
      </c>
      <c r="U1012" s="1" t="s">
        <v>111</v>
      </c>
      <c r="V1012" s="1" t="s">
        <v>112</v>
      </c>
      <c r="W1012" s="1" t="s">
        <v>113</v>
      </c>
      <c r="X1012" s="1"/>
      <c r="Y1012" s="1" t="str">
        <f>"02007003910201928"</f>
        <v>02007003910201928</v>
      </c>
      <c r="Z1012" s="1" t="s">
        <v>98</v>
      </c>
      <c r="AA1012" s="1" t="s">
        <v>4327</v>
      </c>
      <c r="AB1012" s="1" t="str">
        <f t="shared" ref="AB1012:AB1013" si="48">"***567293**"</f>
        <v>***567293**</v>
      </c>
      <c r="AC1012" s="1"/>
      <c r="AD1012" s="1" t="s">
        <v>116</v>
      </c>
      <c r="AE1012" s="1"/>
      <c r="AF1012" s="1">
        <v>-38.623611</v>
      </c>
      <c r="AG1012" s="1">
        <v>-3.780833</v>
      </c>
      <c r="AH1012" s="1" t="s">
        <v>3803</v>
      </c>
      <c r="AI1012" s="1"/>
      <c r="AJ1012" s="1" t="s">
        <v>106</v>
      </c>
      <c r="AK1012" s="1"/>
      <c r="AL1012" s="1" t="s">
        <v>118</v>
      </c>
      <c r="AM1012" s="1" t="s">
        <v>65</v>
      </c>
      <c r="AN1012" s="1" t="s">
        <v>3804</v>
      </c>
      <c r="AO1012" s="2">
        <v>43894.0</v>
      </c>
      <c r="AP1012" s="2">
        <v>43895.339224537</v>
      </c>
      <c r="AQ1012" s="1" t="s">
        <v>80</v>
      </c>
      <c r="AR1012" s="1" t="s">
        <v>3805</v>
      </c>
      <c r="AS1012" s="1"/>
      <c r="AT1012" s="2">
        <v>44269.931099537</v>
      </c>
    </row>
    <row r="1013" ht="13.5" customHeight="1">
      <c r="A1013" s="1">
        <v>2035683.0</v>
      </c>
      <c r="B1013" s="1" t="s">
        <v>67</v>
      </c>
      <c r="C1013" s="1" t="s">
        <v>68</v>
      </c>
      <c r="D1013" s="1" t="s">
        <v>46</v>
      </c>
      <c r="E1013" s="1" t="s">
        <v>4328</v>
      </c>
      <c r="F1013" s="1"/>
      <c r="G1013" s="1" t="s">
        <v>70</v>
      </c>
      <c r="H1013" s="1" t="s">
        <v>93</v>
      </c>
      <c r="I1013" s="1">
        <v>1000.0</v>
      </c>
      <c r="J1013" s="1"/>
      <c r="K1013" s="1"/>
      <c r="L1013" s="1" t="s">
        <v>106</v>
      </c>
      <c r="M1013" s="1" t="s">
        <v>3880</v>
      </c>
      <c r="N1013" s="1" t="s">
        <v>95</v>
      </c>
      <c r="O1013" s="1" t="s">
        <v>96</v>
      </c>
      <c r="P1013" s="2">
        <v>43796.4166666667</v>
      </c>
      <c r="Q1013" s="1" t="s">
        <v>74</v>
      </c>
      <c r="R1013" s="3">
        <v>43796.0</v>
      </c>
      <c r="S1013" s="1"/>
      <c r="T1013" s="1">
        <v>2304400.0</v>
      </c>
      <c r="U1013" s="1" t="s">
        <v>111</v>
      </c>
      <c r="V1013" s="1" t="s">
        <v>112</v>
      </c>
      <c r="W1013" s="1" t="s">
        <v>113</v>
      </c>
      <c r="X1013" s="1"/>
      <c r="Y1013" s="1" t="str">
        <f>"02007001911201972"</f>
        <v>02007001911201972</v>
      </c>
      <c r="Z1013" s="1" t="s">
        <v>98</v>
      </c>
      <c r="AA1013" s="1" t="s">
        <v>4327</v>
      </c>
      <c r="AB1013" s="1" t="str">
        <f t="shared" si="48"/>
        <v>***567293**</v>
      </c>
      <c r="AC1013" s="1"/>
      <c r="AD1013" s="1" t="s">
        <v>116</v>
      </c>
      <c r="AE1013" s="1"/>
      <c r="AF1013" s="1">
        <v>-38.623611</v>
      </c>
      <c r="AG1013" s="1">
        <v>-3.780833</v>
      </c>
      <c r="AH1013" s="1" t="s">
        <v>3803</v>
      </c>
      <c r="AI1013" s="1"/>
      <c r="AJ1013" s="1" t="s">
        <v>106</v>
      </c>
      <c r="AK1013" s="1" t="s">
        <v>4000</v>
      </c>
      <c r="AL1013" s="1" t="s">
        <v>79</v>
      </c>
      <c r="AM1013" s="1" t="s">
        <v>65</v>
      </c>
      <c r="AN1013" s="1" t="s">
        <v>3804</v>
      </c>
      <c r="AO1013" s="2">
        <v>43914.0</v>
      </c>
      <c r="AP1013" s="2">
        <v>44070.4914236111</v>
      </c>
      <c r="AQ1013" s="1" t="s">
        <v>80</v>
      </c>
      <c r="AR1013" s="1" t="s">
        <v>475</v>
      </c>
      <c r="AS1013" s="1"/>
      <c r="AT1013" s="2">
        <v>44269.931099537</v>
      </c>
    </row>
    <row r="1014" ht="13.5" customHeight="1">
      <c r="A1014" s="1">
        <v>2036829.0</v>
      </c>
      <c r="B1014" s="1" t="s">
        <v>67</v>
      </c>
      <c r="C1014" s="1" t="s">
        <v>68</v>
      </c>
      <c r="D1014" s="1" t="s">
        <v>46</v>
      </c>
      <c r="E1014" s="1" t="s">
        <v>4329</v>
      </c>
      <c r="F1014" s="1"/>
      <c r="G1014" s="1" t="s">
        <v>70</v>
      </c>
      <c r="H1014" s="1" t="s">
        <v>93</v>
      </c>
      <c r="I1014" s="1">
        <v>170000.0</v>
      </c>
      <c r="J1014" s="1"/>
      <c r="K1014" s="1"/>
      <c r="L1014" s="1" t="s">
        <v>386</v>
      </c>
      <c r="M1014" s="1" t="s">
        <v>4330</v>
      </c>
      <c r="N1014" s="1" t="s">
        <v>142</v>
      </c>
      <c r="O1014" s="1" t="s">
        <v>143</v>
      </c>
      <c r="P1014" s="2">
        <v>43796.4166666667</v>
      </c>
      <c r="Q1014" s="1" t="s">
        <v>55</v>
      </c>
      <c r="R1014" s="1"/>
      <c r="S1014" s="1"/>
      <c r="T1014" s="1">
        <v>1711902.0</v>
      </c>
      <c r="U1014" s="1" t="s">
        <v>4331</v>
      </c>
      <c r="V1014" s="1" t="s">
        <v>2156</v>
      </c>
      <c r="W1014" s="1" t="s">
        <v>127</v>
      </c>
      <c r="X1014" s="1"/>
      <c r="Y1014" s="1"/>
      <c r="Z1014" s="1" t="s">
        <v>147</v>
      </c>
      <c r="AA1014" s="1" t="s">
        <v>4332</v>
      </c>
      <c r="AB1014" s="1" t="str">
        <f>"***645997**"</f>
        <v>***645997**</v>
      </c>
      <c r="AC1014" s="1"/>
      <c r="AD1014" s="1"/>
      <c r="AE1014" s="1"/>
      <c r="AF1014" s="1">
        <v>-49.576389</v>
      </c>
      <c r="AG1014" s="1">
        <v>-10.607779</v>
      </c>
      <c r="AH1014" s="1" t="s">
        <v>1642</v>
      </c>
      <c r="AI1014" s="1"/>
      <c r="AJ1014" s="1" t="s">
        <v>386</v>
      </c>
      <c r="AK1014" s="1"/>
      <c r="AL1014" s="1" t="s">
        <v>79</v>
      </c>
      <c r="AM1014" s="1" t="s">
        <v>65</v>
      </c>
      <c r="AN1014" s="1" t="s">
        <v>4237</v>
      </c>
      <c r="AO1014" s="2">
        <v>43972.0</v>
      </c>
      <c r="AP1014" s="2">
        <v>43972.7149305556</v>
      </c>
      <c r="AQ1014" s="1" t="s">
        <v>80</v>
      </c>
      <c r="AR1014" s="1" t="s">
        <v>656</v>
      </c>
      <c r="AS1014" s="1" t="s">
        <v>4333</v>
      </c>
      <c r="AT1014" s="2">
        <v>44269.931099537</v>
      </c>
    </row>
    <row r="1015" ht="13.5" customHeight="1">
      <c r="A1015" s="1">
        <v>2034475.0</v>
      </c>
      <c r="B1015" s="1" t="s">
        <v>67</v>
      </c>
      <c r="C1015" s="1" t="s">
        <v>68</v>
      </c>
      <c r="D1015" s="1" t="s">
        <v>46</v>
      </c>
      <c r="E1015" s="1" t="s">
        <v>4334</v>
      </c>
      <c r="F1015" s="1"/>
      <c r="G1015" s="1" t="s">
        <v>70</v>
      </c>
      <c r="H1015" s="1" t="s">
        <v>93</v>
      </c>
      <c r="I1015" s="1">
        <v>1000.0</v>
      </c>
      <c r="J1015" s="1"/>
      <c r="K1015" s="1"/>
      <c r="L1015" s="1" t="s">
        <v>106</v>
      </c>
      <c r="M1015" s="1" t="s">
        <v>4335</v>
      </c>
      <c r="N1015" s="1" t="s">
        <v>95</v>
      </c>
      <c r="O1015" s="1"/>
      <c r="P1015" s="2">
        <v>43796.3875</v>
      </c>
      <c r="Q1015" s="1" t="s">
        <v>74</v>
      </c>
      <c r="R1015" s="1"/>
      <c r="S1015" s="1"/>
      <c r="T1015" s="1">
        <v>2304400.0</v>
      </c>
      <c r="U1015" s="1" t="s">
        <v>111</v>
      </c>
      <c r="V1015" s="1" t="s">
        <v>112</v>
      </c>
      <c r="W1015" s="1" t="s">
        <v>113</v>
      </c>
      <c r="X1015" s="1"/>
      <c r="Y1015" s="1" t="str">
        <f>"02007003911201972"</f>
        <v>02007003911201972</v>
      </c>
      <c r="Z1015" s="1" t="s">
        <v>1267</v>
      </c>
      <c r="AA1015" s="1" t="s">
        <v>4327</v>
      </c>
      <c r="AB1015" s="1" t="str">
        <f>"***567293**"</f>
        <v>***567293**</v>
      </c>
      <c r="AC1015" s="1"/>
      <c r="AD1015" s="1" t="s">
        <v>116</v>
      </c>
      <c r="AE1015" s="1"/>
      <c r="AF1015" s="1">
        <v>0.0</v>
      </c>
      <c r="AG1015" s="1">
        <v>0.0</v>
      </c>
      <c r="AH1015" s="1" t="s">
        <v>3819</v>
      </c>
      <c r="AI1015" s="1"/>
      <c r="AJ1015" s="1"/>
      <c r="AK1015" s="1"/>
      <c r="AL1015" s="1" t="s">
        <v>118</v>
      </c>
      <c r="AM1015" s="1"/>
      <c r="AN1015" s="1"/>
      <c r="AO1015" s="2">
        <v>43874.443275463</v>
      </c>
      <c r="AP1015" s="2">
        <v>43874.443275463</v>
      </c>
      <c r="AQ1015" s="1" t="s">
        <v>80</v>
      </c>
      <c r="AR1015" s="1" t="s">
        <v>1270</v>
      </c>
      <c r="AS1015" s="1"/>
      <c r="AT1015" s="2">
        <v>44269.931099537</v>
      </c>
    </row>
    <row r="1016" ht="13.5" customHeight="1">
      <c r="A1016" s="1">
        <v>2037410.0</v>
      </c>
      <c r="B1016" s="1" t="s">
        <v>67</v>
      </c>
      <c r="C1016" s="1" t="s">
        <v>68</v>
      </c>
      <c r="D1016" s="1" t="s">
        <v>46</v>
      </c>
      <c r="E1016" s="1" t="s">
        <v>4336</v>
      </c>
      <c r="F1016" s="1"/>
      <c r="G1016" s="1" t="s">
        <v>70</v>
      </c>
      <c r="H1016" s="1" t="s">
        <v>50</v>
      </c>
      <c r="I1016" s="1">
        <v>7852.2</v>
      </c>
      <c r="J1016" s="1"/>
      <c r="K1016" s="1"/>
      <c r="L1016" s="1" t="s">
        <v>537</v>
      </c>
      <c r="M1016" s="1" t="s">
        <v>4337</v>
      </c>
      <c r="N1016" s="1" t="s">
        <v>142</v>
      </c>
      <c r="O1016" s="1" t="s">
        <v>143</v>
      </c>
      <c r="P1016" s="2">
        <v>43796.375</v>
      </c>
      <c r="Q1016" s="1" t="s">
        <v>373</v>
      </c>
      <c r="R1016" s="3">
        <v>43796.0</v>
      </c>
      <c r="S1016" s="1"/>
      <c r="T1016" s="1">
        <v>2109908.0</v>
      </c>
      <c r="U1016" s="1" t="s">
        <v>4338</v>
      </c>
      <c r="V1016" s="1" t="s">
        <v>540</v>
      </c>
      <c r="W1016" s="1" t="s">
        <v>177</v>
      </c>
      <c r="X1016" s="1"/>
      <c r="Y1016" s="1" t="str">
        <f>"02012001637202061"</f>
        <v>02012001637202061</v>
      </c>
      <c r="Z1016" s="1" t="s">
        <v>147</v>
      </c>
      <c r="AA1016" s="1" t="s">
        <v>4339</v>
      </c>
      <c r="AB1016" s="1" t="str">
        <f>"***761753**"</f>
        <v>***761753**</v>
      </c>
      <c r="AC1016" s="1"/>
      <c r="AD1016" s="1"/>
      <c r="AE1016" s="1"/>
      <c r="AF1016" s="1">
        <v>-45.474167</v>
      </c>
      <c r="AG1016" s="1">
        <v>-3.81</v>
      </c>
      <c r="AH1016" s="1" t="s">
        <v>4340</v>
      </c>
      <c r="AI1016" s="1"/>
      <c r="AJ1016" s="1" t="s">
        <v>537</v>
      </c>
      <c r="AK1016" s="1"/>
      <c r="AL1016" s="1" t="s">
        <v>79</v>
      </c>
      <c r="AM1016" s="1" t="s">
        <v>65</v>
      </c>
      <c r="AN1016" s="1" t="s">
        <v>4203</v>
      </c>
      <c r="AO1016" s="2">
        <v>43997.0</v>
      </c>
      <c r="AP1016" s="2">
        <v>43997.4602662037</v>
      </c>
      <c r="AQ1016" s="1" t="s">
        <v>80</v>
      </c>
      <c r="AR1016" s="1" t="s">
        <v>181</v>
      </c>
      <c r="AS1016" s="1"/>
      <c r="AT1016" s="2">
        <v>44269.931099537</v>
      </c>
    </row>
    <row r="1017" ht="13.5" customHeight="1">
      <c r="A1017" s="1">
        <v>2038598.0</v>
      </c>
      <c r="B1017" s="1" t="s">
        <v>67</v>
      </c>
      <c r="C1017" s="1" t="s">
        <v>68</v>
      </c>
      <c r="D1017" s="1" t="s">
        <v>46</v>
      </c>
      <c r="E1017" s="1" t="s">
        <v>4341</v>
      </c>
      <c r="F1017" s="1"/>
      <c r="G1017" s="1" t="s">
        <v>70</v>
      </c>
      <c r="H1017" s="1" t="s">
        <v>50</v>
      </c>
      <c r="I1017" s="1">
        <v>165000.0</v>
      </c>
      <c r="J1017" s="1"/>
      <c r="K1017" s="1"/>
      <c r="L1017" s="1" t="s">
        <v>172</v>
      </c>
      <c r="M1017" s="1" t="s">
        <v>4342</v>
      </c>
      <c r="N1017" s="1" t="s">
        <v>283</v>
      </c>
      <c r="O1017" s="1" t="s">
        <v>978</v>
      </c>
      <c r="P1017" s="2">
        <v>43796.375</v>
      </c>
      <c r="Q1017" s="1" t="s">
        <v>74</v>
      </c>
      <c r="R1017" s="1"/>
      <c r="S1017" s="1"/>
      <c r="T1017" s="1">
        <v>3523909.0</v>
      </c>
      <c r="U1017" s="1" t="s">
        <v>2699</v>
      </c>
      <c r="V1017" s="1" t="s">
        <v>58</v>
      </c>
      <c r="W1017" s="1" t="s">
        <v>59</v>
      </c>
      <c r="X1017" s="1"/>
      <c r="Y1017" s="1"/>
      <c r="Z1017" s="1" t="s">
        <v>980</v>
      </c>
      <c r="AA1017" s="1" t="s">
        <v>2700</v>
      </c>
      <c r="AB1017" s="1" t="str">
        <f>"02737439000127"</f>
        <v>02737439000127</v>
      </c>
      <c r="AC1017" s="1"/>
      <c r="AD1017" s="1"/>
      <c r="AE1017" s="1"/>
      <c r="AF1017" s="1">
        <v>-47.460278</v>
      </c>
      <c r="AG1017" s="1">
        <v>-23.383888</v>
      </c>
      <c r="AH1017" s="1" t="s">
        <v>982</v>
      </c>
      <c r="AI1017" s="1"/>
      <c r="AJ1017" s="1" t="s">
        <v>172</v>
      </c>
      <c r="AK1017" s="1"/>
      <c r="AL1017" s="1" t="s">
        <v>79</v>
      </c>
      <c r="AM1017" s="1" t="s">
        <v>65</v>
      </c>
      <c r="AN1017" s="1" t="s">
        <v>983</v>
      </c>
      <c r="AO1017" s="2">
        <v>44040.0</v>
      </c>
      <c r="AP1017" s="2">
        <v>44040.711400463</v>
      </c>
      <c r="AQ1017" s="1" t="s">
        <v>80</v>
      </c>
      <c r="AR1017" s="1" t="s">
        <v>4343</v>
      </c>
      <c r="AS1017" s="1" t="s">
        <v>2953</v>
      </c>
      <c r="AT1017" s="2">
        <v>44269.931099537</v>
      </c>
    </row>
    <row r="1018" ht="13.5" customHeight="1">
      <c r="A1018" s="1">
        <v>2034478.0</v>
      </c>
      <c r="B1018" s="1" t="s">
        <v>67</v>
      </c>
      <c r="C1018" s="1" t="s">
        <v>68</v>
      </c>
      <c r="D1018" s="1" t="s">
        <v>46</v>
      </c>
      <c r="E1018" s="1" t="s">
        <v>4344</v>
      </c>
      <c r="F1018" s="1"/>
      <c r="G1018" s="1" t="s">
        <v>70</v>
      </c>
      <c r="H1018" s="1" t="s">
        <v>93</v>
      </c>
      <c r="I1018" s="1">
        <v>65500.0</v>
      </c>
      <c r="J1018" s="1"/>
      <c r="K1018" s="1"/>
      <c r="L1018" s="1" t="s">
        <v>106</v>
      </c>
      <c r="M1018" s="1" t="s">
        <v>3801</v>
      </c>
      <c r="N1018" s="1" t="s">
        <v>95</v>
      </c>
      <c r="O1018" s="1" t="s">
        <v>96</v>
      </c>
      <c r="P1018" s="2">
        <v>43796.3708333333</v>
      </c>
      <c r="Q1018" s="1" t="s">
        <v>74</v>
      </c>
      <c r="R1018" s="1"/>
      <c r="S1018" s="1"/>
      <c r="T1018" s="1">
        <v>2304400.0</v>
      </c>
      <c r="U1018" s="1" t="s">
        <v>111</v>
      </c>
      <c r="V1018" s="1" t="s">
        <v>112</v>
      </c>
      <c r="W1018" s="1" t="s">
        <v>113</v>
      </c>
      <c r="X1018" s="1"/>
      <c r="Y1018" s="1" t="str">
        <f>"02007003907201912"</f>
        <v>02007003907201912</v>
      </c>
      <c r="Z1018" s="1" t="s">
        <v>3814</v>
      </c>
      <c r="AA1018" s="1" t="s">
        <v>4345</v>
      </c>
      <c r="AB1018" s="1" t="str">
        <f t="shared" ref="AB1018:AB1019" si="49">"***345963**"</f>
        <v>***345963**</v>
      </c>
      <c r="AC1018" s="1"/>
      <c r="AD1018" s="1" t="s">
        <v>116</v>
      </c>
      <c r="AE1018" s="1"/>
      <c r="AF1018" s="1">
        <v>0.0</v>
      </c>
      <c r="AG1018" s="1">
        <v>0.0</v>
      </c>
      <c r="AH1018" s="1" t="s">
        <v>3819</v>
      </c>
      <c r="AI1018" s="1"/>
      <c r="AJ1018" s="1"/>
      <c r="AK1018" s="1"/>
      <c r="AL1018" s="1" t="s">
        <v>118</v>
      </c>
      <c r="AM1018" s="1"/>
      <c r="AN1018" s="1"/>
      <c r="AO1018" s="2">
        <v>43874.6073032407</v>
      </c>
      <c r="AP1018" s="2">
        <v>43874.6073032407</v>
      </c>
      <c r="AQ1018" s="1" t="s">
        <v>80</v>
      </c>
      <c r="AR1018" s="1" t="s">
        <v>3805</v>
      </c>
      <c r="AS1018" s="1"/>
      <c r="AT1018" s="2">
        <v>44269.931099537</v>
      </c>
    </row>
    <row r="1019" ht="13.5" customHeight="1">
      <c r="A1019" s="1">
        <v>2034462.0</v>
      </c>
      <c r="B1019" s="1" t="s">
        <v>67</v>
      </c>
      <c r="C1019" s="1" t="s">
        <v>68</v>
      </c>
      <c r="D1019" s="1" t="s">
        <v>46</v>
      </c>
      <c r="E1019" s="1" t="s">
        <v>4346</v>
      </c>
      <c r="F1019" s="1"/>
      <c r="G1019" s="1" t="s">
        <v>70</v>
      </c>
      <c r="H1019" s="1" t="s">
        <v>93</v>
      </c>
      <c r="I1019" s="1">
        <v>1000.0</v>
      </c>
      <c r="J1019" s="1"/>
      <c r="K1019" s="1"/>
      <c r="L1019" s="1" t="s">
        <v>106</v>
      </c>
      <c r="M1019" s="1" t="s">
        <v>4347</v>
      </c>
      <c r="N1019" s="1" t="s">
        <v>95</v>
      </c>
      <c r="O1019" s="1" t="s">
        <v>96</v>
      </c>
      <c r="P1019" s="2">
        <v>43796.3611111111</v>
      </c>
      <c r="Q1019" s="1" t="s">
        <v>74</v>
      </c>
      <c r="R1019" s="3">
        <v>43951.0</v>
      </c>
      <c r="S1019" s="1"/>
      <c r="T1019" s="1">
        <v>2304400.0</v>
      </c>
      <c r="U1019" s="1" t="s">
        <v>111</v>
      </c>
      <c r="V1019" s="1" t="s">
        <v>112</v>
      </c>
      <c r="W1019" s="1" t="s">
        <v>113</v>
      </c>
      <c r="X1019" s="1"/>
      <c r="Y1019" s="1" t="str">
        <f>"02007003908201959"</f>
        <v>02007003908201959</v>
      </c>
      <c r="Z1019" s="1" t="s">
        <v>1267</v>
      </c>
      <c r="AA1019" s="1" t="s">
        <v>4345</v>
      </c>
      <c r="AB1019" s="1" t="str">
        <f t="shared" si="49"/>
        <v>***345963**</v>
      </c>
      <c r="AC1019" s="1"/>
      <c r="AD1019" s="1" t="s">
        <v>116</v>
      </c>
      <c r="AE1019" s="1"/>
      <c r="AF1019" s="1">
        <v>0.0</v>
      </c>
      <c r="AG1019" s="1">
        <v>0.0</v>
      </c>
      <c r="AH1019" s="1" t="s">
        <v>3819</v>
      </c>
      <c r="AI1019" s="1"/>
      <c r="AJ1019" s="1"/>
      <c r="AK1019" s="1"/>
      <c r="AL1019" s="1" t="s">
        <v>118</v>
      </c>
      <c r="AM1019" s="1"/>
      <c r="AN1019" s="1"/>
      <c r="AO1019" s="2">
        <v>43872.4709837963</v>
      </c>
      <c r="AP1019" s="2">
        <v>43872.4709837963</v>
      </c>
      <c r="AQ1019" s="1" t="s">
        <v>80</v>
      </c>
      <c r="AR1019" s="1" t="s">
        <v>4348</v>
      </c>
      <c r="AS1019" s="1"/>
      <c r="AT1019" s="2">
        <v>44269.931099537</v>
      </c>
    </row>
    <row r="1020" ht="13.5" customHeight="1">
      <c r="A1020" s="1">
        <v>2036115.0</v>
      </c>
      <c r="B1020" s="1" t="s">
        <v>67</v>
      </c>
      <c r="C1020" s="1" t="s">
        <v>68</v>
      </c>
      <c r="D1020" s="1" t="s">
        <v>46</v>
      </c>
      <c r="E1020" s="1" t="s">
        <v>4349</v>
      </c>
      <c r="F1020" s="1"/>
      <c r="G1020" s="1" t="s">
        <v>70</v>
      </c>
      <c r="H1020" s="1" t="s">
        <v>50</v>
      </c>
      <c r="I1020" s="1">
        <v>1000.0</v>
      </c>
      <c r="J1020" s="1"/>
      <c r="K1020" s="1"/>
      <c r="L1020" s="1" t="s">
        <v>172</v>
      </c>
      <c r="M1020" s="1" t="s">
        <v>4350</v>
      </c>
      <c r="N1020" s="1" t="s">
        <v>95</v>
      </c>
      <c r="O1020" s="1" t="s">
        <v>96</v>
      </c>
      <c r="P1020" s="2">
        <v>43796.3333333333</v>
      </c>
      <c r="Q1020" s="1" t="s">
        <v>373</v>
      </c>
      <c r="R1020" s="3">
        <v>43796.0</v>
      </c>
      <c r="S1020" s="1"/>
      <c r="T1020" s="1">
        <v>2611606.0</v>
      </c>
      <c r="U1020" s="1" t="s">
        <v>4246</v>
      </c>
      <c r="V1020" s="1" t="s">
        <v>1037</v>
      </c>
      <c r="W1020" s="1" t="s">
        <v>59</v>
      </c>
      <c r="X1020" s="1"/>
      <c r="Y1020" s="1" t="str">
        <f>"02001010047202059"</f>
        <v>02001010047202059</v>
      </c>
      <c r="Z1020" s="1" t="s">
        <v>98</v>
      </c>
      <c r="AA1020" s="1" t="s">
        <v>4351</v>
      </c>
      <c r="AB1020" s="1" t="str">
        <f>"***402294**"</f>
        <v>***402294**</v>
      </c>
      <c r="AC1020" s="1"/>
      <c r="AD1020" s="1"/>
      <c r="AE1020" s="1"/>
      <c r="AF1020" s="1">
        <v>-34.894726</v>
      </c>
      <c r="AG1020" s="1">
        <v>-8.088611</v>
      </c>
      <c r="AH1020" s="1" t="s">
        <v>4352</v>
      </c>
      <c r="AI1020" s="1"/>
      <c r="AJ1020" s="1" t="s">
        <v>172</v>
      </c>
      <c r="AK1020" s="1"/>
      <c r="AL1020" s="1" t="s">
        <v>79</v>
      </c>
      <c r="AM1020" s="1" t="s">
        <v>65</v>
      </c>
      <c r="AN1020" s="1" t="s">
        <v>2722</v>
      </c>
      <c r="AO1020" s="2">
        <v>43936.0</v>
      </c>
      <c r="AP1020" s="2">
        <v>43936.4980671296</v>
      </c>
      <c r="AQ1020" s="1" t="s">
        <v>80</v>
      </c>
      <c r="AR1020" s="1" t="s">
        <v>4353</v>
      </c>
      <c r="AS1020" s="1"/>
      <c r="AT1020" s="2">
        <v>44269.931099537</v>
      </c>
    </row>
    <row r="1021" ht="13.5" customHeight="1">
      <c r="A1021" s="1">
        <v>2039346.0</v>
      </c>
      <c r="B1021" s="1" t="s">
        <v>67</v>
      </c>
      <c r="C1021" s="1" t="s">
        <v>68</v>
      </c>
      <c r="D1021" s="1" t="s">
        <v>46</v>
      </c>
      <c r="E1021" s="1" t="s">
        <v>4354</v>
      </c>
      <c r="F1021" s="1"/>
      <c r="G1021" s="1" t="s">
        <v>70</v>
      </c>
      <c r="H1021" s="1" t="s">
        <v>93</v>
      </c>
      <c r="I1021" s="1">
        <v>10500.0</v>
      </c>
      <c r="J1021" s="1"/>
      <c r="K1021" s="1"/>
      <c r="L1021" s="1" t="s">
        <v>106</v>
      </c>
      <c r="M1021" s="1" t="s">
        <v>4355</v>
      </c>
      <c r="N1021" s="1" t="s">
        <v>72</v>
      </c>
      <c r="O1021" s="1" t="s">
        <v>213</v>
      </c>
      <c r="P1021" s="2">
        <v>43796.1666666667</v>
      </c>
      <c r="Q1021" s="1" t="s">
        <v>74</v>
      </c>
      <c r="R1021" s="1"/>
      <c r="S1021" s="1"/>
      <c r="T1021" s="1">
        <v>2300200.0</v>
      </c>
      <c r="U1021" s="1" t="s">
        <v>1365</v>
      </c>
      <c r="V1021" s="1" t="s">
        <v>112</v>
      </c>
      <c r="W1021" s="1" t="s">
        <v>288</v>
      </c>
      <c r="X1021" s="1"/>
      <c r="Y1021" s="1" t="str">
        <f>"02007002639202047"</f>
        <v>02007002639202047</v>
      </c>
      <c r="Z1021" s="1" t="s">
        <v>215</v>
      </c>
      <c r="AA1021" s="1" t="s">
        <v>4356</v>
      </c>
      <c r="AB1021" s="1" t="str">
        <f>"***088983**"</f>
        <v>***088983**</v>
      </c>
      <c r="AC1021" s="1"/>
      <c r="AD1021" s="1"/>
      <c r="AE1021" s="1"/>
      <c r="AF1021" s="1">
        <v>-40.09222</v>
      </c>
      <c r="AG1021" s="1">
        <v>-2.8325</v>
      </c>
      <c r="AH1021" s="1" t="s">
        <v>4357</v>
      </c>
      <c r="AI1021" s="1"/>
      <c r="AJ1021" s="1" t="s">
        <v>106</v>
      </c>
      <c r="AK1021" s="1"/>
      <c r="AL1021" s="1" t="s">
        <v>79</v>
      </c>
      <c r="AM1021" s="1" t="s">
        <v>65</v>
      </c>
      <c r="AN1021" s="1" t="s">
        <v>4358</v>
      </c>
      <c r="AO1021" s="2">
        <v>44061.0</v>
      </c>
      <c r="AP1021" s="2">
        <v>44061.4499189815</v>
      </c>
      <c r="AQ1021" s="1" t="s">
        <v>80</v>
      </c>
      <c r="AR1021" s="1" t="s">
        <v>656</v>
      </c>
      <c r="AS1021" s="1" t="s">
        <v>1354</v>
      </c>
      <c r="AT1021" s="2">
        <v>44269.931099537</v>
      </c>
    </row>
    <row r="1022" ht="13.5" customHeight="1">
      <c r="A1022" s="1">
        <v>2038927.0</v>
      </c>
      <c r="B1022" s="1" t="s">
        <v>67</v>
      </c>
      <c r="C1022" s="1" t="s">
        <v>68</v>
      </c>
      <c r="D1022" s="1" t="s">
        <v>46</v>
      </c>
      <c r="E1022" s="1" t="s">
        <v>4359</v>
      </c>
      <c r="F1022" s="1"/>
      <c r="G1022" s="1" t="s">
        <v>70</v>
      </c>
      <c r="H1022" s="1" t="s">
        <v>93</v>
      </c>
      <c r="I1022" s="1">
        <v>240000.0</v>
      </c>
      <c r="J1022" s="1"/>
      <c r="K1022" s="1"/>
      <c r="L1022" s="1" t="s">
        <v>1172</v>
      </c>
      <c r="M1022" s="1" t="s">
        <v>4360</v>
      </c>
      <c r="N1022" s="1" t="s">
        <v>142</v>
      </c>
      <c r="O1022" s="1" t="s">
        <v>143</v>
      </c>
      <c r="P1022" s="2">
        <v>43796.0833333333</v>
      </c>
      <c r="Q1022" s="1" t="s">
        <v>373</v>
      </c>
      <c r="R1022" s="3">
        <v>43796.0</v>
      </c>
      <c r="S1022" s="1"/>
      <c r="T1022" s="1">
        <v>1505486.0</v>
      </c>
      <c r="U1022" s="1" t="s">
        <v>3446</v>
      </c>
      <c r="V1022" s="1" t="s">
        <v>193</v>
      </c>
      <c r="W1022" s="1" t="s">
        <v>177</v>
      </c>
      <c r="X1022" s="1"/>
      <c r="Y1022" s="1"/>
      <c r="Z1022" s="1" t="s">
        <v>147</v>
      </c>
      <c r="AA1022" s="1" t="s">
        <v>4361</v>
      </c>
      <c r="AB1022" s="1" t="str">
        <f t="shared" ref="AB1022:AB1026" si="50">"***292536**"</f>
        <v>***292536**</v>
      </c>
      <c r="AC1022" s="1"/>
      <c r="AD1022" s="1"/>
      <c r="AE1022" s="1"/>
      <c r="AF1022" s="1">
        <v>-50.708054</v>
      </c>
      <c r="AG1022" s="1">
        <v>-3.551111</v>
      </c>
      <c r="AH1022" s="1" t="s">
        <v>4362</v>
      </c>
      <c r="AI1022" s="1"/>
      <c r="AJ1022" s="1" t="s">
        <v>1172</v>
      </c>
      <c r="AK1022" s="1"/>
      <c r="AL1022" s="1" t="s">
        <v>79</v>
      </c>
      <c r="AM1022" s="1" t="s">
        <v>65</v>
      </c>
      <c r="AN1022" s="1" t="s">
        <v>3087</v>
      </c>
      <c r="AO1022" s="2">
        <v>44049.0</v>
      </c>
      <c r="AP1022" s="2">
        <v>44049.6529513889</v>
      </c>
      <c r="AQ1022" s="1" t="s">
        <v>80</v>
      </c>
      <c r="AR1022" s="1" t="s">
        <v>2545</v>
      </c>
      <c r="AS1022" s="1"/>
      <c r="AT1022" s="2">
        <v>44269.931099537</v>
      </c>
    </row>
    <row r="1023" ht="13.5" customHeight="1">
      <c r="A1023" s="1">
        <v>2038925.0</v>
      </c>
      <c r="B1023" s="1" t="s">
        <v>67</v>
      </c>
      <c r="C1023" s="1" t="s">
        <v>68</v>
      </c>
      <c r="D1023" s="1" t="s">
        <v>46</v>
      </c>
      <c r="E1023" s="1" t="s">
        <v>4363</v>
      </c>
      <c r="F1023" s="1"/>
      <c r="G1023" s="1" t="s">
        <v>70</v>
      </c>
      <c r="H1023" s="1" t="s">
        <v>93</v>
      </c>
      <c r="I1023" s="1">
        <v>510000.0</v>
      </c>
      <c r="J1023" s="1"/>
      <c r="K1023" s="1"/>
      <c r="L1023" s="1" t="s">
        <v>1172</v>
      </c>
      <c r="M1023" s="1" t="s">
        <v>4364</v>
      </c>
      <c r="N1023" s="1" t="s">
        <v>142</v>
      </c>
      <c r="O1023" s="1" t="s">
        <v>143</v>
      </c>
      <c r="P1023" s="2">
        <v>43796.0416666667</v>
      </c>
      <c r="Q1023" s="1" t="s">
        <v>373</v>
      </c>
      <c r="R1023" s="3">
        <v>43796.0</v>
      </c>
      <c r="S1023" s="1"/>
      <c r="T1023" s="1">
        <v>1505486.0</v>
      </c>
      <c r="U1023" s="1" t="s">
        <v>3446</v>
      </c>
      <c r="V1023" s="1" t="s">
        <v>193</v>
      </c>
      <c r="W1023" s="1" t="s">
        <v>177</v>
      </c>
      <c r="X1023" s="1"/>
      <c r="Y1023" s="1"/>
      <c r="Z1023" s="1" t="s">
        <v>147</v>
      </c>
      <c r="AA1023" s="1" t="s">
        <v>4361</v>
      </c>
      <c r="AB1023" s="1" t="str">
        <f t="shared" si="50"/>
        <v>***292536**</v>
      </c>
      <c r="AC1023" s="1"/>
      <c r="AD1023" s="1"/>
      <c r="AE1023" s="1"/>
      <c r="AF1023" s="1">
        <v>-50.625832</v>
      </c>
      <c r="AG1023" s="1">
        <v>-3.547222</v>
      </c>
      <c r="AH1023" s="1" t="s">
        <v>4362</v>
      </c>
      <c r="AI1023" s="1"/>
      <c r="AJ1023" s="1" t="s">
        <v>1172</v>
      </c>
      <c r="AK1023" s="1"/>
      <c r="AL1023" s="1" t="s">
        <v>79</v>
      </c>
      <c r="AM1023" s="1" t="s">
        <v>65</v>
      </c>
      <c r="AN1023" s="1" t="s">
        <v>3087</v>
      </c>
      <c r="AO1023" s="2">
        <v>44049.0</v>
      </c>
      <c r="AP1023" s="2">
        <v>44049.6447337963</v>
      </c>
      <c r="AQ1023" s="1" t="s">
        <v>80</v>
      </c>
      <c r="AR1023" s="1" t="s">
        <v>392</v>
      </c>
      <c r="AS1023" s="1"/>
      <c r="AT1023" s="2">
        <v>44269.931099537</v>
      </c>
    </row>
    <row r="1024" ht="13.5" customHeight="1">
      <c r="A1024" s="1">
        <v>2038924.0</v>
      </c>
      <c r="B1024" s="1" t="s">
        <v>67</v>
      </c>
      <c r="C1024" s="1" t="s">
        <v>68</v>
      </c>
      <c r="D1024" s="1" t="s">
        <v>46</v>
      </c>
      <c r="E1024" s="1" t="s">
        <v>4365</v>
      </c>
      <c r="F1024" s="1"/>
      <c r="G1024" s="1" t="s">
        <v>70</v>
      </c>
      <c r="H1024" s="1" t="s">
        <v>93</v>
      </c>
      <c r="I1024" s="1">
        <v>120000.0</v>
      </c>
      <c r="J1024" s="1"/>
      <c r="K1024" s="1"/>
      <c r="L1024" s="1" t="s">
        <v>1172</v>
      </c>
      <c r="M1024" s="1" t="s">
        <v>4366</v>
      </c>
      <c r="N1024" s="1" t="s">
        <v>142</v>
      </c>
      <c r="O1024" s="1" t="s">
        <v>143</v>
      </c>
      <c r="P1024" s="2">
        <v>43796.0</v>
      </c>
      <c r="Q1024" s="1" t="s">
        <v>373</v>
      </c>
      <c r="R1024" s="3">
        <v>43796.0</v>
      </c>
      <c r="S1024" s="1"/>
      <c r="T1024" s="1">
        <v>1505486.0</v>
      </c>
      <c r="U1024" s="1" t="s">
        <v>3446</v>
      </c>
      <c r="V1024" s="1" t="s">
        <v>193</v>
      </c>
      <c r="W1024" s="1" t="s">
        <v>177</v>
      </c>
      <c r="X1024" s="1"/>
      <c r="Y1024" s="1"/>
      <c r="Z1024" s="1" t="s">
        <v>147</v>
      </c>
      <c r="AA1024" s="1" t="s">
        <v>4361</v>
      </c>
      <c r="AB1024" s="1" t="str">
        <f t="shared" si="50"/>
        <v>***292536**</v>
      </c>
      <c r="AC1024" s="1"/>
      <c r="AD1024" s="1"/>
      <c r="AE1024" s="1"/>
      <c r="AF1024" s="1">
        <v>-50.625832</v>
      </c>
      <c r="AG1024" s="1">
        <v>-3.547222</v>
      </c>
      <c r="AH1024" s="1" t="s">
        <v>4362</v>
      </c>
      <c r="AI1024" s="1"/>
      <c r="AJ1024" s="1" t="s">
        <v>1172</v>
      </c>
      <c r="AK1024" s="1"/>
      <c r="AL1024" s="1" t="s">
        <v>79</v>
      </c>
      <c r="AM1024" s="1" t="s">
        <v>65</v>
      </c>
      <c r="AN1024" s="1" t="s">
        <v>3087</v>
      </c>
      <c r="AO1024" s="2">
        <v>44049.0</v>
      </c>
      <c r="AP1024" s="2">
        <v>44049.6445486111</v>
      </c>
      <c r="AQ1024" s="1" t="s">
        <v>80</v>
      </c>
      <c r="AR1024" s="1" t="s">
        <v>1607</v>
      </c>
      <c r="AS1024" s="1"/>
      <c r="AT1024" s="2">
        <v>44269.931099537</v>
      </c>
    </row>
    <row r="1025" ht="13.5" customHeight="1">
      <c r="A1025" s="1">
        <v>2038922.0</v>
      </c>
      <c r="B1025" s="1" t="s">
        <v>67</v>
      </c>
      <c r="C1025" s="1" t="s">
        <v>68</v>
      </c>
      <c r="D1025" s="1" t="s">
        <v>46</v>
      </c>
      <c r="E1025" s="1" t="s">
        <v>4367</v>
      </c>
      <c r="F1025" s="1"/>
      <c r="G1025" s="1" t="s">
        <v>70</v>
      </c>
      <c r="H1025" s="1" t="s">
        <v>93</v>
      </c>
      <c r="I1025" s="1">
        <v>120000.0</v>
      </c>
      <c r="J1025" s="1"/>
      <c r="K1025" s="1"/>
      <c r="L1025" s="1" t="s">
        <v>1172</v>
      </c>
      <c r="M1025" s="1" t="s">
        <v>4368</v>
      </c>
      <c r="N1025" s="1" t="s">
        <v>142</v>
      </c>
      <c r="O1025" s="1" t="s">
        <v>143</v>
      </c>
      <c r="P1025" s="2">
        <v>43795.9583333333</v>
      </c>
      <c r="Q1025" s="1" t="s">
        <v>373</v>
      </c>
      <c r="R1025" s="3">
        <v>43795.0</v>
      </c>
      <c r="S1025" s="1"/>
      <c r="T1025" s="1">
        <v>1505486.0</v>
      </c>
      <c r="U1025" s="1" t="s">
        <v>3446</v>
      </c>
      <c r="V1025" s="1" t="s">
        <v>193</v>
      </c>
      <c r="W1025" s="1" t="s">
        <v>177</v>
      </c>
      <c r="X1025" s="1"/>
      <c r="Y1025" s="1"/>
      <c r="Z1025" s="1" t="s">
        <v>147</v>
      </c>
      <c r="AA1025" s="1" t="s">
        <v>4361</v>
      </c>
      <c r="AB1025" s="1" t="str">
        <f t="shared" si="50"/>
        <v>***292536**</v>
      </c>
      <c r="AC1025" s="1"/>
      <c r="AD1025" s="1"/>
      <c r="AE1025" s="1"/>
      <c r="AF1025" s="1">
        <v>-50.70472</v>
      </c>
      <c r="AG1025" s="1">
        <v>-3.602778</v>
      </c>
      <c r="AH1025" s="1" t="s">
        <v>4369</v>
      </c>
      <c r="AI1025" s="1"/>
      <c r="AJ1025" s="1" t="s">
        <v>1172</v>
      </c>
      <c r="AK1025" s="1"/>
      <c r="AL1025" s="1" t="s">
        <v>79</v>
      </c>
      <c r="AM1025" s="1" t="s">
        <v>65</v>
      </c>
      <c r="AN1025" s="1" t="s">
        <v>3087</v>
      </c>
      <c r="AO1025" s="2">
        <v>44049.0</v>
      </c>
      <c r="AP1025" s="2">
        <v>44049.6442013889</v>
      </c>
      <c r="AQ1025" s="1" t="s">
        <v>80</v>
      </c>
      <c r="AR1025" s="1" t="s">
        <v>1607</v>
      </c>
      <c r="AS1025" s="1"/>
      <c r="AT1025" s="2">
        <v>44269.931099537</v>
      </c>
    </row>
    <row r="1026" ht="13.5" customHeight="1">
      <c r="A1026" s="1">
        <v>2038923.0</v>
      </c>
      <c r="B1026" s="1" t="s">
        <v>67</v>
      </c>
      <c r="C1026" s="1" t="s">
        <v>68</v>
      </c>
      <c r="D1026" s="1" t="s">
        <v>46</v>
      </c>
      <c r="E1026" s="1" t="s">
        <v>4370</v>
      </c>
      <c r="F1026" s="1"/>
      <c r="G1026" s="1" t="s">
        <v>70</v>
      </c>
      <c r="H1026" s="1" t="s">
        <v>93</v>
      </c>
      <c r="I1026" s="1">
        <v>495000.0</v>
      </c>
      <c r="J1026" s="1"/>
      <c r="K1026" s="1"/>
      <c r="L1026" s="1" t="s">
        <v>1172</v>
      </c>
      <c r="M1026" s="1" t="s">
        <v>4371</v>
      </c>
      <c r="N1026" s="1" t="s">
        <v>142</v>
      </c>
      <c r="O1026" s="1" t="s">
        <v>143</v>
      </c>
      <c r="P1026" s="2">
        <v>43795.9583333333</v>
      </c>
      <c r="Q1026" s="1" t="s">
        <v>373</v>
      </c>
      <c r="R1026" s="3">
        <v>43795.0</v>
      </c>
      <c r="S1026" s="1"/>
      <c r="T1026" s="1">
        <v>1505486.0</v>
      </c>
      <c r="U1026" s="1" t="s">
        <v>3446</v>
      </c>
      <c r="V1026" s="1" t="s">
        <v>193</v>
      </c>
      <c r="W1026" s="1" t="s">
        <v>177</v>
      </c>
      <c r="X1026" s="1"/>
      <c r="Y1026" s="1"/>
      <c r="Z1026" s="1" t="s">
        <v>147</v>
      </c>
      <c r="AA1026" s="1" t="s">
        <v>4361</v>
      </c>
      <c r="AB1026" s="1" t="str">
        <f t="shared" si="50"/>
        <v>***292536**</v>
      </c>
      <c r="AC1026" s="1"/>
      <c r="AD1026" s="1"/>
      <c r="AE1026" s="1"/>
      <c r="AF1026" s="1">
        <v>-50.70472</v>
      </c>
      <c r="AG1026" s="1">
        <v>-3.602778</v>
      </c>
      <c r="AH1026" s="1" t="s">
        <v>4362</v>
      </c>
      <c r="AI1026" s="1"/>
      <c r="AJ1026" s="1" t="s">
        <v>1172</v>
      </c>
      <c r="AK1026" s="1"/>
      <c r="AL1026" s="1" t="s">
        <v>79</v>
      </c>
      <c r="AM1026" s="1" t="s">
        <v>65</v>
      </c>
      <c r="AN1026" s="1" t="s">
        <v>3087</v>
      </c>
      <c r="AO1026" s="2">
        <v>44049.0</v>
      </c>
      <c r="AP1026" s="2">
        <v>44049.6443865741</v>
      </c>
      <c r="AQ1026" s="1" t="s">
        <v>80</v>
      </c>
      <c r="AR1026" s="1" t="s">
        <v>392</v>
      </c>
      <c r="AS1026" s="1"/>
      <c r="AT1026" s="2">
        <v>44269.931099537</v>
      </c>
    </row>
    <row r="1027" ht="13.5" customHeight="1">
      <c r="A1027" s="1"/>
      <c r="B1027" s="1" t="s">
        <v>46</v>
      </c>
      <c r="C1027" s="1" t="s">
        <v>657</v>
      </c>
      <c r="D1027" s="1" t="s">
        <v>67</v>
      </c>
      <c r="E1027" s="1" t="s">
        <v>4372</v>
      </c>
      <c r="F1027" s="1"/>
      <c r="G1027" s="1" t="s">
        <v>49</v>
      </c>
      <c r="H1027" s="1" t="s">
        <v>50</v>
      </c>
      <c r="I1027" s="1">
        <v>6500.0</v>
      </c>
      <c r="J1027" s="1"/>
      <c r="K1027" s="1" t="s">
        <v>51</v>
      </c>
      <c r="L1027" s="1"/>
      <c r="M1027" s="1" t="s">
        <v>4373</v>
      </c>
      <c r="N1027" s="1" t="s">
        <v>977</v>
      </c>
      <c r="O1027" s="1" t="s">
        <v>978</v>
      </c>
      <c r="P1027" s="2">
        <v>43795.8147569444</v>
      </c>
      <c r="Q1027" s="1" t="s">
        <v>55</v>
      </c>
      <c r="R1027" s="1"/>
      <c r="S1027" s="1"/>
      <c r="T1027" s="1">
        <v>3518800.0</v>
      </c>
      <c r="U1027" s="1" t="s">
        <v>57</v>
      </c>
      <c r="V1027" s="1" t="s">
        <v>58</v>
      </c>
      <c r="W1027" s="1" t="s">
        <v>59</v>
      </c>
      <c r="X1027" s="1"/>
      <c r="Y1027" s="1"/>
      <c r="Z1027" s="1" t="s">
        <v>980</v>
      </c>
      <c r="AA1027" s="1" t="s">
        <v>4374</v>
      </c>
      <c r="AB1027" s="1" t="str">
        <f>"04294897000164"</f>
        <v>04294897000164</v>
      </c>
      <c r="AC1027" s="1"/>
      <c r="AD1027" s="1" t="s">
        <v>62</v>
      </c>
      <c r="AE1027" s="1"/>
      <c r="AF1027" s="1">
        <v>-46.487499</v>
      </c>
      <c r="AG1027" s="1">
        <v>-23.425554</v>
      </c>
      <c r="AH1027" s="1" t="s">
        <v>4375</v>
      </c>
      <c r="AI1027" s="1"/>
      <c r="AJ1027" s="1" t="s">
        <v>64</v>
      </c>
      <c r="AK1027" s="1"/>
      <c r="AL1027" s="1"/>
      <c r="AM1027" s="1" t="s">
        <v>65</v>
      </c>
      <c r="AN1027" s="1"/>
      <c r="AO1027" s="1"/>
      <c r="AP1027" s="2">
        <v>43795.8214467593</v>
      </c>
      <c r="AQ1027" s="1"/>
      <c r="AR1027" s="1" t="s">
        <v>1756</v>
      </c>
      <c r="AS1027" s="1"/>
      <c r="AT1027" s="2">
        <v>44269.931099537</v>
      </c>
    </row>
    <row r="1028" ht="13.5" customHeight="1">
      <c r="A1028" s="1"/>
      <c r="B1028" s="1" t="s">
        <v>46</v>
      </c>
      <c r="C1028" s="1" t="s">
        <v>47</v>
      </c>
      <c r="D1028" s="1"/>
      <c r="E1028" s="1" t="s">
        <v>4376</v>
      </c>
      <c r="F1028" s="1"/>
      <c r="G1028" s="1" t="s">
        <v>49</v>
      </c>
      <c r="H1028" s="1" t="s">
        <v>50</v>
      </c>
      <c r="I1028" s="1">
        <v>105000.0</v>
      </c>
      <c r="J1028" s="1"/>
      <c r="K1028" s="1" t="s">
        <v>51</v>
      </c>
      <c r="L1028" s="1"/>
      <c r="M1028" s="1" t="s">
        <v>4377</v>
      </c>
      <c r="N1028" s="1" t="s">
        <v>977</v>
      </c>
      <c r="O1028" s="1" t="s">
        <v>978</v>
      </c>
      <c r="P1028" s="2">
        <v>43795.7929166667</v>
      </c>
      <c r="Q1028" s="1" t="s">
        <v>74</v>
      </c>
      <c r="R1028" s="1"/>
      <c r="S1028" s="1"/>
      <c r="T1028" s="1">
        <v>3518800.0</v>
      </c>
      <c r="U1028" s="1" t="s">
        <v>57</v>
      </c>
      <c r="V1028" s="1" t="s">
        <v>58</v>
      </c>
      <c r="W1028" s="1" t="s">
        <v>59</v>
      </c>
      <c r="X1028" s="1"/>
      <c r="Y1028" s="1"/>
      <c r="Z1028" s="1" t="s">
        <v>980</v>
      </c>
      <c r="AA1028" s="1" t="s">
        <v>3505</v>
      </c>
      <c r="AB1028" s="1" t="str">
        <f>"62934252000145"</f>
        <v>62934252000145</v>
      </c>
      <c r="AC1028" s="1"/>
      <c r="AD1028" s="1" t="s">
        <v>149</v>
      </c>
      <c r="AE1028" s="1"/>
      <c r="AF1028" s="1">
        <v>-46.533333</v>
      </c>
      <c r="AG1028" s="1">
        <v>-23.462778</v>
      </c>
      <c r="AH1028" s="1" t="s">
        <v>4378</v>
      </c>
      <c r="AI1028" s="1"/>
      <c r="AJ1028" s="1" t="s">
        <v>172</v>
      </c>
      <c r="AK1028" s="1"/>
      <c r="AL1028" s="1"/>
      <c r="AM1028" s="1" t="s">
        <v>65</v>
      </c>
      <c r="AN1028" s="1" t="s">
        <v>983</v>
      </c>
      <c r="AO1028" s="1"/>
      <c r="AP1028" s="2">
        <v>44014.8136226852</v>
      </c>
      <c r="AQ1028" s="1"/>
      <c r="AR1028" s="1" t="s">
        <v>984</v>
      </c>
      <c r="AS1028" s="1" t="s">
        <v>4223</v>
      </c>
      <c r="AT1028" s="2">
        <v>44269.931099537</v>
      </c>
    </row>
    <row r="1029" ht="13.5" customHeight="1">
      <c r="A1029" s="1"/>
      <c r="B1029" s="1" t="s">
        <v>46</v>
      </c>
      <c r="C1029" s="1" t="s">
        <v>47</v>
      </c>
      <c r="D1029" s="1"/>
      <c r="E1029" s="1" t="s">
        <v>4379</v>
      </c>
      <c r="F1029" s="1"/>
      <c r="G1029" s="1" t="s">
        <v>49</v>
      </c>
      <c r="H1029" s="1" t="s">
        <v>93</v>
      </c>
      <c r="I1029" s="1">
        <v>80000.0</v>
      </c>
      <c r="J1029" s="1"/>
      <c r="K1029" s="1"/>
      <c r="L1029" s="1"/>
      <c r="M1029" s="1" t="s">
        <v>4380</v>
      </c>
      <c r="N1029" s="1" t="s">
        <v>142</v>
      </c>
      <c r="O1029" s="1" t="s">
        <v>143</v>
      </c>
      <c r="P1029" s="2">
        <v>43795.7812962963</v>
      </c>
      <c r="Q1029" s="1" t="s">
        <v>373</v>
      </c>
      <c r="R1029" s="1"/>
      <c r="S1029" s="1"/>
      <c r="T1029" s="1">
        <v>5006606.0</v>
      </c>
      <c r="U1029" s="1" t="s">
        <v>4194</v>
      </c>
      <c r="V1029" s="1" t="s">
        <v>529</v>
      </c>
      <c r="W1029" s="1" t="s">
        <v>59</v>
      </c>
      <c r="X1029" s="1"/>
      <c r="Y1029" s="1"/>
      <c r="Z1029" s="1" t="s">
        <v>147</v>
      </c>
      <c r="AA1029" s="1" t="s">
        <v>4381</v>
      </c>
      <c r="AB1029" s="1" t="str">
        <f>"***971521**"</f>
        <v>***971521**</v>
      </c>
      <c r="AC1029" s="1"/>
      <c r="AD1029" s="1" t="s">
        <v>149</v>
      </c>
      <c r="AE1029" s="1"/>
      <c r="AF1029" s="1">
        <v>-55.455555</v>
      </c>
      <c r="AG1029" s="1">
        <v>-22.257223</v>
      </c>
      <c r="AH1029" s="1" t="s">
        <v>4382</v>
      </c>
      <c r="AI1029" s="1"/>
      <c r="AJ1029" s="1" t="s">
        <v>533</v>
      </c>
      <c r="AK1029" s="1"/>
      <c r="AL1029" s="1"/>
      <c r="AM1029" s="1" t="s">
        <v>65</v>
      </c>
      <c r="AN1029" s="1" t="s">
        <v>4197</v>
      </c>
      <c r="AO1029" s="1"/>
      <c r="AP1029" s="2">
        <v>43795.7854861111</v>
      </c>
      <c r="AQ1029" s="1"/>
      <c r="AR1029" s="1" t="s">
        <v>433</v>
      </c>
      <c r="AS1029" s="1" t="s">
        <v>4383</v>
      </c>
      <c r="AT1029" s="2">
        <v>44269.931099537</v>
      </c>
    </row>
    <row r="1030" ht="13.5" customHeight="1">
      <c r="A1030" s="1"/>
      <c r="B1030" s="1" t="s">
        <v>46</v>
      </c>
      <c r="C1030" s="1" t="s">
        <v>47</v>
      </c>
      <c r="D1030" s="1"/>
      <c r="E1030" s="1" t="s">
        <v>4384</v>
      </c>
      <c r="F1030" s="1"/>
      <c r="G1030" s="1" t="s">
        <v>49</v>
      </c>
      <c r="H1030" s="1" t="s">
        <v>50</v>
      </c>
      <c r="I1030" s="1">
        <v>1720.0</v>
      </c>
      <c r="J1030" s="1"/>
      <c r="K1030" s="1" t="s">
        <v>140</v>
      </c>
      <c r="L1030" s="1"/>
      <c r="M1030" s="1" t="s">
        <v>4385</v>
      </c>
      <c r="N1030" s="1" t="s">
        <v>53</v>
      </c>
      <c r="O1030" s="1" t="s">
        <v>54</v>
      </c>
      <c r="P1030" s="2">
        <v>43795.7740740741</v>
      </c>
      <c r="Q1030" s="1" t="s">
        <v>373</v>
      </c>
      <c r="R1030" s="1"/>
      <c r="S1030" s="1"/>
      <c r="T1030" s="1">
        <v>3134301.0</v>
      </c>
      <c r="U1030" s="1" t="s">
        <v>4386</v>
      </c>
      <c r="V1030" s="1" t="s">
        <v>126</v>
      </c>
      <c r="W1030" s="1" t="s">
        <v>59</v>
      </c>
      <c r="X1030" s="1"/>
      <c r="Y1030" s="1"/>
      <c r="Z1030" s="1" t="s">
        <v>60</v>
      </c>
      <c r="AA1030" s="1" t="s">
        <v>4387</v>
      </c>
      <c r="AB1030" s="1" t="str">
        <f>"***023876**"</f>
        <v>***023876**</v>
      </c>
      <c r="AC1030" s="1"/>
      <c r="AD1030" s="1" t="s">
        <v>149</v>
      </c>
      <c r="AE1030" s="1"/>
      <c r="AF1030" s="1">
        <v>-44.765278</v>
      </c>
      <c r="AG1030" s="1">
        <v>-21.228611</v>
      </c>
      <c r="AH1030" s="1" t="s">
        <v>4388</v>
      </c>
      <c r="AI1030" s="1"/>
      <c r="AJ1030" s="1" t="s">
        <v>4389</v>
      </c>
      <c r="AK1030" s="1"/>
      <c r="AL1030" s="1"/>
      <c r="AM1030" s="1" t="s">
        <v>65</v>
      </c>
      <c r="AN1030" s="1" t="s">
        <v>4390</v>
      </c>
      <c r="AO1030" s="1"/>
      <c r="AP1030" s="2">
        <v>43795.7824884259</v>
      </c>
      <c r="AQ1030" s="1"/>
      <c r="AR1030" s="1" t="s">
        <v>3247</v>
      </c>
      <c r="AS1030" s="1" t="s">
        <v>4391</v>
      </c>
      <c r="AT1030" s="2">
        <v>44269.931099537</v>
      </c>
    </row>
    <row r="1031" ht="13.5" customHeight="1">
      <c r="A1031" s="1"/>
      <c r="B1031" s="1" t="s">
        <v>46</v>
      </c>
      <c r="C1031" s="1" t="s">
        <v>47</v>
      </c>
      <c r="D1031" s="1"/>
      <c r="E1031" s="1" t="s">
        <v>4392</v>
      </c>
      <c r="F1031" s="1"/>
      <c r="G1031" s="1" t="s">
        <v>49</v>
      </c>
      <c r="H1031" s="1" t="s">
        <v>93</v>
      </c>
      <c r="I1031" s="1">
        <v>80000.0</v>
      </c>
      <c r="J1031" s="1"/>
      <c r="K1031" s="1"/>
      <c r="L1031" s="1"/>
      <c r="M1031" s="1" t="s">
        <v>4380</v>
      </c>
      <c r="N1031" s="1" t="s">
        <v>142</v>
      </c>
      <c r="O1031" s="1" t="s">
        <v>143</v>
      </c>
      <c r="P1031" s="2">
        <v>43795.7587962963</v>
      </c>
      <c r="Q1031" s="1" t="s">
        <v>373</v>
      </c>
      <c r="R1031" s="1"/>
      <c r="S1031" s="1"/>
      <c r="T1031" s="1">
        <v>5006606.0</v>
      </c>
      <c r="U1031" s="1" t="s">
        <v>4194</v>
      </c>
      <c r="V1031" s="1" t="s">
        <v>529</v>
      </c>
      <c r="W1031" s="1" t="s">
        <v>59</v>
      </c>
      <c r="X1031" s="1"/>
      <c r="Y1031" s="1"/>
      <c r="Z1031" s="1" t="s">
        <v>147</v>
      </c>
      <c r="AA1031" s="1" t="s">
        <v>4393</v>
      </c>
      <c r="AB1031" s="1" t="str">
        <f>"***971521**"</f>
        <v>***971521**</v>
      </c>
      <c r="AC1031" s="1"/>
      <c r="AD1031" s="1" t="s">
        <v>149</v>
      </c>
      <c r="AE1031" s="1"/>
      <c r="AF1031" s="1">
        <v>-55.455555</v>
      </c>
      <c r="AG1031" s="1">
        <v>-22.257223</v>
      </c>
      <c r="AH1031" s="1" t="s">
        <v>4394</v>
      </c>
      <c r="AI1031" s="1"/>
      <c r="AJ1031" s="1" t="s">
        <v>533</v>
      </c>
      <c r="AK1031" s="1"/>
      <c r="AL1031" s="1"/>
      <c r="AM1031" s="1" t="s">
        <v>65</v>
      </c>
      <c r="AN1031" s="1" t="s">
        <v>4197</v>
      </c>
      <c r="AO1031" s="1"/>
      <c r="AP1031" s="2">
        <v>43795.7668518519</v>
      </c>
      <c r="AQ1031" s="1"/>
      <c r="AR1031" s="1" t="s">
        <v>433</v>
      </c>
      <c r="AS1031" s="1" t="s">
        <v>4395</v>
      </c>
      <c r="AT1031" s="2">
        <v>44269.931099537</v>
      </c>
    </row>
    <row r="1032" ht="13.5" customHeight="1">
      <c r="A1032" s="1"/>
      <c r="B1032" s="1" t="s">
        <v>46</v>
      </c>
      <c r="C1032" s="1" t="s">
        <v>47</v>
      </c>
      <c r="D1032" s="1"/>
      <c r="E1032" s="1" t="s">
        <v>4396</v>
      </c>
      <c r="F1032" s="1"/>
      <c r="G1032" s="1" t="s">
        <v>49</v>
      </c>
      <c r="H1032" s="1" t="s">
        <v>50</v>
      </c>
      <c r="I1032" s="1">
        <v>1720.0</v>
      </c>
      <c r="J1032" s="1"/>
      <c r="K1032" s="1" t="s">
        <v>140</v>
      </c>
      <c r="L1032" s="1"/>
      <c r="M1032" s="1" t="s">
        <v>4397</v>
      </c>
      <c r="N1032" s="1" t="s">
        <v>53</v>
      </c>
      <c r="O1032" s="1" t="s">
        <v>54</v>
      </c>
      <c r="P1032" s="2">
        <v>43795.7455902778</v>
      </c>
      <c r="Q1032" s="1" t="s">
        <v>373</v>
      </c>
      <c r="R1032" s="1"/>
      <c r="S1032" s="1"/>
      <c r="T1032" s="1">
        <v>3134301.0</v>
      </c>
      <c r="U1032" s="1" t="s">
        <v>4386</v>
      </c>
      <c r="V1032" s="1" t="s">
        <v>126</v>
      </c>
      <c r="W1032" s="1" t="s">
        <v>59</v>
      </c>
      <c r="X1032" s="1"/>
      <c r="Y1032" s="1"/>
      <c r="Z1032" s="1" t="s">
        <v>60</v>
      </c>
      <c r="AA1032" s="1" t="s">
        <v>4398</v>
      </c>
      <c r="AB1032" s="1" t="str">
        <f>"***127026**"</f>
        <v>***127026**</v>
      </c>
      <c r="AC1032" s="1"/>
      <c r="AD1032" s="1" t="s">
        <v>62</v>
      </c>
      <c r="AE1032" s="1"/>
      <c r="AF1032" s="1">
        <v>-44.765278</v>
      </c>
      <c r="AG1032" s="1">
        <v>-21.228611</v>
      </c>
      <c r="AH1032" s="1" t="s">
        <v>4399</v>
      </c>
      <c r="AI1032" s="1"/>
      <c r="AJ1032" s="1" t="s">
        <v>4389</v>
      </c>
      <c r="AK1032" s="1"/>
      <c r="AL1032" s="1"/>
      <c r="AM1032" s="1" t="s">
        <v>65</v>
      </c>
      <c r="AN1032" s="1" t="s">
        <v>4390</v>
      </c>
      <c r="AO1032" s="1"/>
      <c r="AP1032" s="2">
        <v>43795.7605092593</v>
      </c>
      <c r="AQ1032" s="1"/>
      <c r="AR1032" s="1" t="s">
        <v>3259</v>
      </c>
      <c r="AS1032" s="1" t="s">
        <v>4391</v>
      </c>
      <c r="AT1032" s="2">
        <v>44269.931099537</v>
      </c>
    </row>
    <row r="1033" ht="13.5" customHeight="1">
      <c r="A1033" s="1"/>
      <c r="B1033" s="1" t="s">
        <v>46</v>
      </c>
      <c r="C1033" s="1" t="s">
        <v>47</v>
      </c>
      <c r="D1033" s="1"/>
      <c r="E1033" s="1" t="s">
        <v>4400</v>
      </c>
      <c r="F1033" s="1"/>
      <c r="G1033" s="1" t="s">
        <v>49</v>
      </c>
      <c r="H1033" s="1" t="s">
        <v>93</v>
      </c>
      <c r="I1033" s="1">
        <v>73000.0</v>
      </c>
      <c r="J1033" s="1"/>
      <c r="K1033" s="1"/>
      <c r="L1033" s="1"/>
      <c r="M1033" s="1" t="s">
        <v>4401</v>
      </c>
      <c r="N1033" s="1" t="s">
        <v>95</v>
      </c>
      <c r="O1033" s="1" t="s">
        <v>96</v>
      </c>
      <c r="P1033" s="2">
        <v>43795.7394444444</v>
      </c>
      <c r="Q1033" s="1" t="s">
        <v>74</v>
      </c>
      <c r="R1033" s="1"/>
      <c r="S1033" s="1"/>
      <c r="T1033" s="1">
        <v>5221601.0</v>
      </c>
      <c r="U1033" s="1" t="s">
        <v>4402</v>
      </c>
      <c r="V1033" s="1" t="s">
        <v>375</v>
      </c>
      <c r="W1033" s="1" t="s">
        <v>127</v>
      </c>
      <c r="X1033" s="1"/>
      <c r="Y1033" s="1"/>
      <c r="Z1033" s="1" t="s">
        <v>98</v>
      </c>
      <c r="AA1033" s="1" t="s">
        <v>4403</v>
      </c>
      <c r="AB1033" s="1" t="str">
        <f>"***098111**"</f>
        <v>***098111**</v>
      </c>
      <c r="AC1033" s="1"/>
      <c r="AD1033" s="1" t="s">
        <v>62</v>
      </c>
      <c r="AE1033" s="1"/>
      <c r="AF1033" s="1">
        <v>-49.206947</v>
      </c>
      <c r="AG1033" s="1">
        <v>-14.709999</v>
      </c>
      <c r="AH1033" s="1" t="s">
        <v>4404</v>
      </c>
      <c r="AI1033" s="1"/>
      <c r="AJ1033" s="1" t="s">
        <v>371</v>
      </c>
      <c r="AK1033" s="1"/>
      <c r="AL1033" s="1"/>
      <c r="AM1033" s="1" t="s">
        <v>65</v>
      </c>
      <c r="AN1033" s="1" t="s">
        <v>3712</v>
      </c>
      <c r="AO1033" s="1"/>
      <c r="AP1033" s="2">
        <v>43795.7668402778</v>
      </c>
      <c r="AQ1033" s="1"/>
      <c r="AR1033" s="1" t="s">
        <v>4405</v>
      </c>
      <c r="AS1033" s="1"/>
      <c r="AT1033" s="2">
        <v>44269.931099537</v>
      </c>
    </row>
    <row r="1034" ht="13.5" customHeight="1">
      <c r="A1034" s="1">
        <v>2035388.0</v>
      </c>
      <c r="B1034" s="1" t="s">
        <v>67</v>
      </c>
      <c r="C1034" s="1" t="s">
        <v>68</v>
      </c>
      <c r="D1034" s="1" t="s">
        <v>46</v>
      </c>
      <c r="E1034" s="1" t="s">
        <v>4406</v>
      </c>
      <c r="F1034" s="1"/>
      <c r="G1034" s="1" t="s">
        <v>70</v>
      </c>
      <c r="H1034" s="1" t="s">
        <v>93</v>
      </c>
      <c r="I1034" s="1">
        <v>2000.0</v>
      </c>
      <c r="J1034" s="1"/>
      <c r="K1034" s="1"/>
      <c r="L1034" s="1" t="s">
        <v>3484</v>
      </c>
      <c r="M1034" s="1" t="s">
        <v>4407</v>
      </c>
      <c r="N1034" s="1" t="s">
        <v>95</v>
      </c>
      <c r="O1034" s="1" t="s">
        <v>96</v>
      </c>
      <c r="P1034" s="2">
        <v>43795.7083333333</v>
      </c>
      <c r="Q1034" s="1" t="s">
        <v>74</v>
      </c>
      <c r="R1034" s="3">
        <v>43795.0</v>
      </c>
      <c r="S1034" s="1"/>
      <c r="T1034" s="1">
        <v>2408003.0</v>
      </c>
      <c r="U1034" s="1" t="s">
        <v>4408</v>
      </c>
      <c r="V1034" s="1" t="s">
        <v>1424</v>
      </c>
      <c r="W1034" s="1" t="s">
        <v>113</v>
      </c>
      <c r="X1034" s="1"/>
      <c r="Y1034" s="1"/>
      <c r="Z1034" s="1" t="s">
        <v>98</v>
      </c>
      <c r="AA1034" s="1" t="s">
        <v>4409</v>
      </c>
      <c r="AB1034" s="1" t="str">
        <f>"***622794**"</f>
        <v>***622794**</v>
      </c>
      <c r="AC1034" s="1"/>
      <c r="AD1034" s="1"/>
      <c r="AE1034" s="1"/>
      <c r="AF1034" s="1">
        <v>-37.423054</v>
      </c>
      <c r="AG1034" s="1">
        <v>-5.268333</v>
      </c>
      <c r="AH1034" s="1" t="s">
        <v>4410</v>
      </c>
      <c r="AI1034" s="1"/>
      <c r="AJ1034" s="1" t="s">
        <v>3484</v>
      </c>
      <c r="AK1034" s="1"/>
      <c r="AL1034" s="1" t="s">
        <v>79</v>
      </c>
      <c r="AM1034" s="1" t="s">
        <v>65</v>
      </c>
      <c r="AN1034" s="1" t="s">
        <v>152</v>
      </c>
      <c r="AO1034" s="2">
        <v>43902.0</v>
      </c>
      <c r="AP1034" s="2">
        <v>43902.3856365741</v>
      </c>
      <c r="AQ1034" s="1" t="s">
        <v>80</v>
      </c>
      <c r="AR1034" s="1" t="s">
        <v>3062</v>
      </c>
      <c r="AS1034" s="1" t="s">
        <v>4411</v>
      </c>
      <c r="AT1034" s="2">
        <v>44269.931099537</v>
      </c>
    </row>
    <row r="1035" ht="13.5" customHeight="1">
      <c r="A1035" s="1">
        <v>2038448.0</v>
      </c>
      <c r="B1035" s="1" t="s">
        <v>67</v>
      </c>
      <c r="C1035" s="1" t="s">
        <v>68</v>
      </c>
      <c r="D1035" s="1" t="s">
        <v>46</v>
      </c>
      <c r="E1035" s="1" t="s">
        <v>4412</v>
      </c>
      <c r="F1035" s="1"/>
      <c r="G1035" s="1" t="s">
        <v>70</v>
      </c>
      <c r="H1035" s="1" t="s">
        <v>93</v>
      </c>
      <c r="I1035" s="1">
        <v>181000.0</v>
      </c>
      <c r="J1035" s="1"/>
      <c r="K1035" s="1"/>
      <c r="L1035" s="1" t="s">
        <v>587</v>
      </c>
      <c r="M1035" s="1" t="s">
        <v>4413</v>
      </c>
      <c r="N1035" s="1" t="s">
        <v>95</v>
      </c>
      <c r="O1035" s="1" t="s">
        <v>96</v>
      </c>
      <c r="P1035" s="2">
        <v>43795.7083333333</v>
      </c>
      <c r="Q1035" s="1" t="s">
        <v>373</v>
      </c>
      <c r="R1035" s="3">
        <v>43795.0</v>
      </c>
      <c r="S1035" s="1"/>
      <c r="T1035" s="1">
        <v>3132503.0</v>
      </c>
      <c r="U1035" s="1" t="s">
        <v>4414</v>
      </c>
      <c r="V1035" s="1" t="s">
        <v>126</v>
      </c>
      <c r="W1035" s="1" t="s">
        <v>127</v>
      </c>
      <c r="X1035" s="1"/>
      <c r="Y1035" s="1" t="str">
        <f>"02566000417201911"</f>
        <v>02566000417201911</v>
      </c>
      <c r="Z1035" s="1" t="s">
        <v>98</v>
      </c>
      <c r="AA1035" s="1" t="s">
        <v>4415</v>
      </c>
      <c r="AB1035" s="1" t="str">
        <f>"***422766**"</f>
        <v>***422766**</v>
      </c>
      <c r="AC1035" s="1"/>
      <c r="AD1035" s="1"/>
      <c r="AE1035" s="1"/>
      <c r="AF1035" s="1">
        <v>-42.862778</v>
      </c>
      <c r="AG1035" s="1">
        <v>-17.859446</v>
      </c>
      <c r="AH1035" s="1" t="s">
        <v>4416</v>
      </c>
      <c r="AI1035" s="1"/>
      <c r="AJ1035" s="1" t="s">
        <v>587</v>
      </c>
      <c r="AK1035" s="1"/>
      <c r="AL1035" s="1" t="s">
        <v>79</v>
      </c>
      <c r="AM1035" s="1" t="s">
        <v>65</v>
      </c>
      <c r="AN1035" s="1" t="s">
        <v>592</v>
      </c>
      <c r="AO1035" s="2">
        <v>44034.0</v>
      </c>
      <c r="AP1035" s="2">
        <v>44034.6464699074</v>
      </c>
      <c r="AQ1035" s="1" t="s">
        <v>80</v>
      </c>
      <c r="AR1035" s="1" t="s">
        <v>2941</v>
      </c>
      <c r="AS1035" s="1"/>
      <c r="AT1035" s="2">
        <v>44269.931099537</v>
      </c>
    </row>
    <row r="1036" ht="13.5" customHeight="1">
      <c r="A1036" s="1">
        <v>2038470.0</v>
      </c>
      <c r="B1036" s="1" t="s">
        <v>67</v>
      </c>
      <c r="C1036" s="1" t="s">
        <v>68</v>
      </c>
      <c r="D1036" s="1" t="s">
        <v>46</v>
      </c>
      <c r="E1036" s="1" t="s">
        <v>4417</v>
      </c>
      <c r="F1036" s="1"/>
      <c r="G1036" s="1" t="s">
        <v>70</v>
      </c>
      <c r="H1036" s="1" t="s">
        <v>93</v>
      </c>
      <c r="I1036" s="1">
        <v>120000.0</v>
      </c>
      <c r="J1036" s="1"/>
      <c r="K1036" s="1"/>
      <c r="L1036" s="1" t="s">
        <v>1172</v>
      </c>
      <c r="M1036" s="1" t="s">
        <v>4418</v>
      </c>
      <c r="N1036" s="1" t="s">
        <v>142</v>
      </c>
      <c r="O1036" s="1" t="s">
        <v>143</v>
      </c>
      <c r="P1036" s="2">
        <v>43795.7083333333</v>
      </c>
      <c r="Q1036" s="1" t="s">
        <v>74</v>
      </c>
      <c r="R1036" s="3">
        <v>43795.0</v>
      </c>
      <c r="S1036" s="1"/>
      <c r="T1036" s="1">
        <v>1505486.0</v>
      </c>
      <c r="U1036" s="1" t="s">
        <v>3446</v>
      </c>
      <c r="V1036" s="1" t="s">
        <v>193</v>
      </c>
      <c r="W1036" s="1" t="s">
        <v>177</v>
      </c>
      <c r="X1036" s="1"/>
      <c r="Y1036" s="1"/>
      <c r="Z1036" s="1" t="s">
        <v>147</v>
      </c>
      <c r="AA1036" s="1" t="s">
        <v>4419</v>
      </c>
      <c r="AB1036" s="1" t="str">
        <f t="shared" ref="AB1036:AB1037" si="51">"***208693**"</f>
        <v>***208693**</v>
      </c>
      <c r="AC1036" s="1"/>
      <c r="AD1036" s="1"/>
      <c r="AE1036" s="1"/>
      <c r="AF1036" s="1">
        <v>-51.279446</v>
      </c>
      <c r="AG1036" s="1">
        <v>-3.342222</v>
      </c>
      <c r="AH1036" s="1" t="s">
        <v>4420</v>
      </c>
      <c r="AI1036" s="1"/>
      <c r="AJ1036" s="1" t="s">
        <v>1172</v>
      </c>
      <c r="AK1036" s="1"/>
      <c r="AL1036" s="1" t="s">
        <v>79</v>
      </c>
      <c r="AM1036" s="1" t="s">
        <v>65</v>
      </c>
      <c r="AN1036" s="1" t="s">
        <v>3087</v>
      </c>
      <c r="AO1036" s="2">
        <v>44035.0</v>
      </c>
      <c r="AP1036" s="2">
        <v>44035.5777430556</v>
      </c>
      <c r="AQ1036" s="1" t="s">
        <v>80</v>
      </c>
      <c r="AR1036" s="1" t="s">
        <v>1607</v>
      </c>
      <c r="AS1036" s="1"/>
      <c r="AT1036" s="2">
        <v>44269.931099537</v>
      </c>
    </row>
    <row r="1037" ht="13.5" customHeight="1">
      <c r="A1037" s="1">
        <v>2038471.0</v>
      </c>
      <c r="B1037" s="1" t="s">
        <v>67</v>
      </c>
      <c r="C1037" s="1" t="s">
        <v>68</v>
      </c>
      <c r="D1037" s="1" t="s">
        <v>46</v>
      </c>
      <c r="E1037" s="1" t="s">
        <v>4421</v>
      </c>
      <c r="F1037" s="1"/>
      <c r="G1037" s="1" t="s">
        <v>70</v>
      </c>
      <c r="H1037" s="1" t="s">
        <v>93</v>
      </c>
      <c r="I1037" s="1">
        <v>310000.0</v>
      </c>
      <c r="J1037" s="1"/>
      <c r="K1037" s="1"/>
      <c r="L1037" s="1" t="s">
        <v>1172</v>
      </c>
      <c r="M1037" s="1" t="s">
        <v>4422</v>
      </c>
      <c r="N1037" s="1" t="s">
        <v>142</v>
      </c>
      <c r="O1037" s="1" t="s">
        <v>143</v>
      </c>
      <c r="P1037" s="2">
        <v>43795.7083333333</v>
      </c>
      <c r="Q1037" s="1" t="s">
        <v>74</v>
      </c>
      <c r="R1037" s="3">
        <v>43795.0</v>
      </c>
      <c r="S1037" s="1"/>
      <c r="T1037" s="1">
        <v>1505486.0</v>
      </c>
      <c r="U1037" s="1" t="s">
        <v>3446</v>
      </c>
      <c r="V1037" s="1" t="s">
        <v>193</v>
      </c>
      <c r="W1037" s="1" t="s">
        <v>177</v>
      </c>
      <c r="X1037" s="1"/>
      <c r="Y1037" s="1"/>
      <c r="Z1037" s="1" t="s">
        <v>147</v>
      </c>
      <c r="AA1037" s="1" t="s">
        <v>4419</v>
      </c>
      <c r="AB1037" s="1" t="str">
        <f t="shared" si="51"/>
        <v>***208693**</v>
      </c>
      <c r="AC1037" s="1"/>
      <c r="AD1037" s="1"/>
      <c r="AE1037" s="1"/>
      <c r="AF1037" s="1">
        <v>-51.279446</v>
      </c>
      <c r="AG1037" s="1">
        <v>-3.342222</v>
      </c>
      <c r="AH1037" s="1" t="s">
        <v>4423</v>
      </c>
      <c r="AI1037" s="1"/>
      <c r="AJ1037" s="1" t="s">
        <v>1172</v>
      </c>
      <c r="AK1037" s="1"/>
      <c r="AL1037" s="1" t="s">
        <v>79</v>
      </c>
      <c r="AM1037" s="1" t="s">
        <v>65</v>
      </c>
      <c r="AN1037" s="1" t="s">
        <v>3087</v>
      </c>
      <c r="AO1037" s="2">
        <v>44035.0</v>
      </c>
      <c r="AP1037" s="2">
        <v>44035.5783564815</v>
      </c>
      <c r="AQ1037" s="1" t="s">
        <v>80</v>
      </c>
      <c r="AR1037" s="1" t="s">
        <v>392</v>
      </c>
      <c r="AS1037" s="1"/>
      <c r="AT1037" s="2">
        <v>44269.931099537</v>
      </c>
    </row>
    <row r="1038" ht="13.5" customHeight="1">
      <c r="A1038" s="1">
        <v>2043711.0</v>
      </c>
      <c r="B1038" s="1" t="s">
        <v>67</v>
      </c>
      <c r="C1038" s="1" t="s">
        <v>68</v>
      </c>
      <c r="D1038" s="1" t="s">
        <v>46</v>
      </c>
      <c r="E1038" s="1" t="s">
        <v>4424</v>
      </c>
      <c r="F1038" s="1"/>
      <c r="G1038" s="1" t="s">
        <v>70</v>
      </c>
      <c r="H1038" s="1" t="s">
        <v>93</v>
      </c>
      <c r="I1038" s="1">
        <v>52500.0</v>
      </c>
      <c r="J1038" s="1"/>
      <c r="K1038" s="1"/>
      <c r="L1038" s="1" t="s">
        <v>444</v>
      </c>
      <c r="M1038" s="1" t="s">
        <v>4425</v>
      </c>
      <c r="N1038" s="1" t="s">
        <v>142</v>
      </c>
      <c r="O1038" s="1" t="s">
        <v>143</v>
      </c>
      <c r="P1038" s="2">
        <v>43795.7083333333</v>
      </c>
      <c r="Q1038" s="1" t="s">
        <v>373</v>
      </c>
      <c r="R1038" s="3">
        <v>43795.0</v>
      </c>
      <c r="S1038" s="1"/>
      <c r="T1038" s="1">
        <v>1100205.0</v>
      </c>
      <c r="U1038" s="1" t="s">
        <v>653</v>
      </c>
      <c r="V1038" s="1" t="s">
        <v>448</v>
      </c>
      <c r="W1038" s="1" t="s">
        <v>177</v>
      </c>
      <c r="X1038" s="1"/>
      <c r="Y1038" s="1"/>
      <c r="Z1038" s="1" t="s">
        <v>147</v>
      </c>
      <c r="AA1038" s="1" t="s">
        <v>4426</v>
      </c>
      <c r="AB1038" s="1" t="str">
        <f>"32945398000125"</f>
        <v>32945398000125</v>
      </c>
      <c r="AC1038" s="1"/>
      <c r="AD1038" s="1"/>
      <c r="AE1038" s="1"/>
      <c r="AF1038" s="1">
        <v>-66.365556</v>
      </c>
      <c r="AG1038" s="1">
        <v>-9.773889</v>
      </c>
      <c r="AH1038" s="1" t="s">
        <v>4427</v>
      </c>
      <c r="AI1038" s="1"/>
      <c r="AJ1038" s="1" t="s">
        <v>444</v>
      </c>
      <c r="AK1038" s="1"/>
      <c r="AL1038" s="1" t="s">
        <v>79</v>
      </c>
      <c r="AM1038" s="1" t="s">
        <v>65</v>
      </c>
      <c r="AN1038" s="1" t="s">
        <v>4428</v>
      </c>
      <c r="AO1038" s="2">
        <v>44250.0</v>
      </c>
      <c r="AP1038" s="2">
        <v>44250.4568981481</v>
      </c>
      <c r="AQ1038" s="1" t="s">
        <v>80</v>
      </c>
      <c r="AR1038" s="1" t="s">
        <v>4429</v>
      </c>
      <c r="AS1038" s="1"/>
      <c r="AT1038" s="2">
        <v>44269.931099537</v>
      </c>
    </row>
    <row r="1039" ht="13.5" customHeight="1">
      <c r="A1039" s="1">
        <v>2034516.0</v>
      </c>
      <c r="B1039" s="1" t="s">
        <v>67</v>
      </c>
      <c r="C1039" s="1" t="s">
        <v>68</v>
      </c>
      <c r="D1039" s="1" t="s">
        <v>46</v>
      </c>
      <c r="E1039" s="1" t="s">
        <v>4430</v>
      </c>
      <c r="F1039" s="1"/>
      <c r="G1039" s="1" t="s">
        <v>70</v>
      </c>
      <c r="H1039" s="1" t="s">
        <v>93</v>
      </c>
      <c r="I1039" s="1">
        <v>65500.0</v>
      </c>
      <c r="J1039" s="1"/>
      <c r="K1039" s="1"/>
      <c r="L1039" s="1" t="s">
        <v>106</v>
      </c>
      <c r="M1039" s="1" t="s">
        <v>3801</v>
      </c>
      <c r="N1039" s="1" t="s">
        <v>95</v>
      </c>
      <c r="O1039" s="1" t="s">
        <v>96</v>
      </c>
      <c r="P1039" s="2">
        <v>43795.69375</v>
      </c>
      <c r="Q1039" s="1" t="s">
        <v>74</v>
      </c>
      <c r="R1039" s="1"/>
      <c r="S1039" s="1"/>
      <c r="T1039" s="1">
        <v>2304400.0</v>
      </c>
      <c r="U1039" s="1" t="s">
        <v>111</v>
      </c>
      <c r="V1039" s="1" t="s">
        <v>112</v>
      </c>
      <c r="W1039" s="1" t="s">
        <v>113</v>
      </c>
      <c r="X1039" s="1"/>
      <c r="Y1039" s="1" t="str">
        <f>"02007003905201915"</f>
        <v>02007003905201915</v>
      </c>
      <c r="Z1039" s="1" t="s">
        <v>3814</v>
      </c>
      <c r="AA1039" s="1" t="s">
        <v>4431</v>
      </c>
      <c r="AB1039" s="1" t="str">
        <f t="shared" ref="AB1039:AB1040" si="52">"***296983**"</f>
        <v>***296983**</v>
      </c>
      <c r="AC1039" s="1"/>
      <c r="AD1039" s="1" t="s">
        <v>116</v>
      </c>
      <c r="AE1039" s="1"/>
      <c r="AF1039" s="1">
        <v>0.0</v>
      </c>
      <c r="AG1039" s="1">
        <v>0.0</v>
      </c>
      <c r="AH1039" s="1" t="s">
        <v>3819</v>
      </c>
      <c r="AI1039" s="1"/>
      <c r="AJ1039" s="1"/>
      <c r="AK1039" s="1"/>
      <c r="AL1039" s="1" t="s">
        <v>118</v>
      </c>
      <c r="AM1039" s="1"/>
      <c r="AN1039" s="1"/>
      <c r="AO1039" s="2">
        <v>43880.6522106481</v>
      </c>
      <c r="AP1039" s="2">
        <v>43880.6522106481</v>
      </c>
      <c r="AQ1039" s="1" t="s">
        <v>80</v>
      </c>
      <c r="AR1039" s="1" t="s">
        <v>3805</v>
      </c>
      <c r="AS1039" s="1"/>
      <c r="AT1039" s="2">
        <v>44269.931099537</v>
      </c>
    </row>
    <row r="1040" ht="13.5" customHeight="1">
      <c r="A1040" s="1">
        <v>2034524.0</v>
      </c>
      <c r="B1040" s="1" t="s">
        <v>67</v>
      </c>
      <c r="C1040" s="1" t="s">
        <v>68</v>
      </c>
      <c r="D1040" s="1" t="s">
        <v>46</v>
      </c>
      <c r="E1040" s="1" t="s">
        <v>4432</v>
      </c>
      <c r="F1040" s="1"/>
      <c r="G1040" s="1" t="s">
        <v>70</v>
      </c>
      <c r="H1040" s="1" t="s">
        <v>93</v>
      </c>
      <c r="I1040" s="1">
        <v>1000.0</v>
      </c>
      <c r="J1040" s="1"/>
      <c r="K1040" s="1"/>
      <c r="L1040" s="1" t="s">
        <v>106</v>
      </c>
      <c r="M1040" s="1" t="s">
        <v>3870</v>
      </c>
      <c r="N1040" s="1" t="s">
        <v>95</v>
      </c>
      <c r="O1040" s="1" t="s">
        <v>96</v>
      </c>
      <c r="P1040" s="2">
        <v>43795.6840277778</v>
      </c>
      <c r="Q1040" s="1" t="s">
        <v>74</v>
      </c>
      <c r="R1040" s="1"/>
      <c r="S1040" s="1"/>
      <c r="T1040" s="1">
        <v>2304400.0</v>
      </c>
      <c r="U1040" s="1" t="s">
        <v>111</v>
      </c>
      <c r="V1040" s="1" t="s">
        <v>112</v>
      </c>
      <c r="W1040" s="1" t="s">
        <v>113</v>
      </c>
      <c r="X1040" s="1"/>
      <c r="Y1040" s="1" t="str">
        <f>"02007003906201960"</f>
        <v>02007003906201960</v>
      </c>
      <c r="Z1040" s="1" t="s">
        <v>1267</v>
      </c>
      <c r="AA1040" s="1" t="s">
        <v>4431</v>
      </c>
      <c r="AB1040" s="1" t="str">
        <f t="shared" si="52"/>
        <v>***296983**</v>
      </c>
      <c r="AC1040" s="1"/>
      <c r="AD1040" s="1" t="s">
        <v>116</v>
      </c>
      <c r="AE1040" s="1"/>
      <c r="AF1040" s="1">
        <v>0.0</v>
      </c>
      <c r="AG1040" s="1">
        <v>0.0</v>
      </c>
      <c r="AH1040" s="1" t="s">
        <v>3819</v>
      </c>
      <c r="AI1040" s="1"/>
      <c r="AJ1040" s="1"/>
      <c r="AK1040" s="1"/>
      <c r="AL1040" s="1" t="s">
        <v>118</v>
      </c>
      <c r="AM1040" s="1"/>
      <c r="AN1040" s="1"/>
      <c r="AO1040" s="2">
        <v>43881.625775463</v>
      </c>
      <c r="AP1040" s="2">
        <v>43881.625775463</v>
      </c>
      <c r="AQ1040" s="1" t="s">
        <v>80</v>
      </c>
      <c r="AR1040" s="1" t="s">
        <v>1270</v>
      </c>
      <c r="AS1040" s="1"/>
      <c r="AT1040" s="2">
        <v>44269.931099537</v>
      </c>
    </row>
    <row r="1041" ht="13.5" customHeight="1">
      <c r="A1041" s="1"/>
      <c r="B1041" s="1" t="s">
        <v>46</v>
      </c>
      <c r="C1041" s="1" t="s">
        <v>47</v>
      </c>
      <c r="D1041" s="1"/>
      <c r="E1041" s="1" t="s">
        <v>4433</v>
      </c>
      <c r="F1041" s="1"/>
      <c r="G1041" s="1" t="s">
        <v>49</v>
      </c>
      <c r="H1041" s="1" t="s">
        <v>50</v>
      </c>
      <c r="I1041" s="1">
        <v>15000.0</v>
      </c>
      <c r="J1041" s="1"/>
      <c r="K1041" s="1" t="s">
        <v>140</v>
      </c>
      <c r="L1041" s="1"/>
      <c r="M1041" s="1" t="s">
        <v>4342</v>
      </c>
      <c r="N1041" s="1" t="s">
        <v>977</v>
      </c>
      <c r="O1041" s="1" t="s">
        <v>978</v>
      </c>
      <c r="P1041" s="2">
        <v>43795.6753472222</v>
      </c>
      <c r="Q1041" s="1" t="s">
        <v>74</v>
      </c>
      <c r="R1041" s="1"/>
      <c r="S1041" s="1"/>
      <c r="T1041" s="1">
        <v>3548906.0</v>
      </c>
      <c r="U1041" s="1" t="s">
        <v>2795</v>
      </c>
      <c r="V1041" s="1" t="s">
        <v>58</v>
      </c>
      <c r="W1041" s="1" t="s">
        <v>127</v>
      </c>
      <c r="X1041" s="1"/>
      <c r="Y1041" s="1"/>
      <c r="Z1041" s="1" t="s">
        <v>980</v>
      </c>
      <c r="AA1041" s="1" t="s">
        <v>2796</v>
      </c>
      <c r="AB1041" s="1" t="str">
        <f>"00543854000114"</f>
        <v>00543854000114</v>
      </c>
      <c r="AC1041" s="1"/>
      <c r="AD1041" s="1" t="s">
        <v>149</v>
      </c>
      <c r="AE1041" s="1"/>
      <c r="AF1041" s="1">
        <v>-48.007221</v>
      </c>
      <c r="AG1041" s="1">
        <v>-22.062222</v>
      </c>
      <c r="AH1041" s="1" t="s">
        <v>982</v>
      </c>
      <c r="AI1041" s="1"/>
      <c r="AJ1041" s="1" t="s">
        <v>172</v>
      </c>
      <c r="AK1041" s="1"/>
      <c r="AL1041" s="1"/>
      <c r="AM1041" s="1" t="s">
        <v>65</v>
      </c>
      <c r="AN1041" s="1" t="s">
        <v>983</v>
      </c>
      <c r="AO1041" s="1"/>
      <c r="AP1041" s="2">
        <v>44008.7461921296</v>
      </c>
      <c r="AQ1041" s="1"/>
      <c r="AR1041" s="1" t="s">
        <v>984</v>
      </c>
      <c r="AS1041" s="1" t="s">
        <v>4223</v>
      </c>
      <c r="AT1041" s="2">
        <v>44269.931099537</v>
      </c>
    </row>
    <row r="1042" ht="13.5" customHeight="1">
      <c r="A1042" s="1"/>
      <c r="B1042" s="1" t="s">
        <v>46</v>
      </c>
      <c r="C1042" s="1" t="s">
        <v>47</v>
      </c>
      <c r="D1042" s="1"/>
      <c r="E1042" s="1" t="s">
        <v>4434</v>
      </c>
      <c r="F1042" s="1"/>
      <c r="G1042" s="1" t="s">
        <v>49</v>
      </c>
      <c r="H1042" s="1" t="s">
        <v>93</v>
      </c>
      <c r="I1042" s="1">
        <v>225000.0</v>
      </c>
      <c r="J1042" s="1"/>
      <c r="K1042" s="1"/>
      <c r="L1042" s="1"/>
      <c r="M1042" s="1" t="s">
        <v>4435</v>
      </c>
      <c r="N1042" s="1" t="s">
        <v>142</v>
      </c>
      <c r="O1042" s="1" t="s">
        <v>143</v>
      </c>
      <c r="P1042" s="2">
        <v>43795.6719328704</v>
      </c>
      <c r="Q1042" s="1" t="s">
        <v>373</v>
      </c>
      <c r="R1042" s="1"/>
      <c r="S1042" s="1"/>
      <c r="T1042" s="1">
        <v>1505486.0</v>
      </c>
      <c r="U1042" s="1" t="s">
        <v>3446</v>
      </c>
      <c r="V1042" s="1" t="s">
        <v>193</v>
      </c>
      <c r="W1042" s="1" t="s">
        <v>177</v>
      </c>
      <c r="X1042" s="1"/>
      <c r="Y1042" s="1"/>
      <c r="Z1042" s="1" t="s">
        <v>147</v>
      </c>
      <c r="AA1042" s="1" t="s">
        <v>4436</v>
      </c>
      <c r="AB1042" s="1" t="str">
        <f>"***687502**"</f>
        <v>***687502**</v>
      </c>
      <c r="AC1042" s="1"/>
      <c r="AD1042" s="1" t="s">
        <v>116</v>
      </c>
      <c r="AE1042" s="1"/>
      <c r="AF1042" s="1">
        <v>-50.685276</v>
      </c>
      <c r="AG1042" s="1">
        <v>-3.793056</v>
      </c>
      <c r="AH1042" s="1" t="s">
        <v>4437</v>
      </c>
      <c r="AI1042" s="1"/>
      <c r="AJ1042" s="1" t="s">
        <v>1172</v>
      </c>
      <c r="AK1042" s="1"/>
      <c r="AL1042" s="1"/>
      <c r="AM1042" s="1" t="s">
        <v>65</v>
      </c>
      <c r="AN1042" s="1" t="s">
        <v>3087</v>
      </c>
      <c r="AO1042" s="1"/>
      <c r="AP1042" s="2">
        <v>43795.6905439815</v>
      </c>
      <c r="AQ1042" s="1"/>
      <c r="AR1042" s="1" t="s">
        <v>871</v>
      </c>
      <c r="AS1042" s="1"/>
      <c r="AT1042" s="2">
        <v>44269.931099537</v>
      </c>
    </row>
    <row r="1043" ht="13.5" customHeight="1">
      <c r="A1043" s="1"/>
      <c r="B1043" s="1" t="s">
        <v>46</v>
      </c>
      <c r="C1043" s="1" t="s">
        <v>47</v>
      </c>
      <c r="D1043" s="1"/>
      <c r="E1043" s="1" t="s">
        <v>4438</v>
      </c>
      <c r="F1043" s="1"/>
      <c r="G1043" s="1" t="s">
        <v>49</v>
      </c>
      <c r="H1043" s="1" t="s">
        <v>93</v>
      </c>
      <c r="I1043" s="1">
        <v>260000.0</v>
      </c>
      <c r="J1043" s="1"/>
      <c r="K1043" s="1"/>
      <c r="L1043" s="1"/>
      <c r="M1043" s="1" t="s">
        <v>4439</v>
      </c>
      <c r="N1043" s="1" t="s">
        <v>142</v>
      </c>
      <c r="O1043" s="1" t="s">
        <v>143</v>
      </c>
      <c r="P1043" s="2">
        <v>43795.6402083333</v>
      </c>
      <c r="Q1043" s="1" t="s">
        <v>373</v>
      </c>
      <c r="R1043" s="1"/>
      <c r="S1043" s="1"/>
      <c r="T1043" s="1">
        <v>1100205.0</v>
      </c>
      <c r="U1043" s="1" t="s">
        <v>653</v>
      </c>
      <c r="V1043" s="1" t="s">
        <v>448</v>
      </c>
      <c r="W1043" s="1" t="s">
        <v>177</v>
      </c>
      <c r="X1043" s="1"/>
      <c r="Y1043" s="1"/>
      <c r="Z1043" s="1" t="s">
        <v>147</v>
      </c>
      <c r="AA1043" s="1" t="s">
        <v>4440</v>
      </c>
      <c r="AB1043" s="1" t="str">
        <f>"***159622**"</f>
        <v>***159622**</v>
      </c>
      <c r="AC1043" s="1"/>
      <c r="AD1043" s="1" t="s">
        <v>116</v>
      </c>
      <c r="AE1043" s="1"/>
      <c r="AF1043" s="1">
        <v>-64.782784</v>
      </c>
      <c r="AG1043" s="1">
        <v>-9.773889</v>
      </c>
      <c r="AH1043" s="1" t="s">
        <v>4441</v>
      </c>
      <c r="AI1043" s="1"/>
      <c r="AJ1043" s="1" t="s">
        <v>444</v>
      </c>
      <c r="AK1043" s="1"/>
      <c r="AL1043" s="1"/>
      <c r="AM1043" s="1" t="s">
        <v>65</v>
      </c>
      <c r="AN1043" s="1" t="s">
        <v>4428</v>
      </c>
      <c r="AO1043" s="1"/>
      <c r="AP1043" s="2">
        <v>43795.6729166667</v>
      </c>
      <c r="AQ1043" s="1"/>
      <c r="AR1043" s="1" t="s">
        <v>3478</v>
      </c>
      <c r="AS1043" s="1"/>
      <c r="AT1043" s="2">
        <v>44269.931099537</v>
      </c>
    </row>
    <row r="1044" ht="13.5" customHeight="1">
      <c r="A1044" s="1">
        <v>2034835.0</v>
      </c>
      <c r="B1044" s="1" t="s">
        <v>67</v>
      </c>
      <c r="C1044" s="1" t="s">
        <v>68</v>
      </c>
      <c r="D1044" s="1" t="s">
        <v>46</v>
      </c>
      <c r="E1044" s="1" t="s">
        <v>4442</v>
      </c>
      <c r="F1044" s="1"/>
      <c r="G1044" s="1" t="s">
        <v>70</v>
      </c>
      <c r="H1044" s="1" t="s">
        <v>50</v>
      </c>
      <c r="I1044" s="1">
        <v>61000.0</v>
      </c>
      <c r="J1044" s="1"/>
      <c r="K1044" s="1"/>
      <c r="L1044" s="1" t="s">
        <v>196</v>
      </c>
      <c r="M1044" s="1" t="s">
        <v>4443</v>
      </c>
      <c r="N1044" s="1" t="s">
        <v>142</v>
      </c>
      <c r="O1044" s="1" t="s">
        <v>143</v>
      </c>
      <c r="P1044" s="2">
        <v>43795.625</v>
      </c>
      <c r="Q1044" s="1" t="s">
        <v>74</v>
      </c>
      <c r="R1044" s="3">
        <v>43832.0</v>
      </c>
      <c r="S1044" s="1"/>
      <c r="T1044" s="1">
        <v>1505809.0</v>
      </c>
      <c r="U1044" s="1" t="s">
        <v>3084</v>
      </c>
      <c r="V1044" s="1" t="s">
        <v>193</v>
      </c>
      <c r="W1044" s="1" t="s">
        <v>177</v>
      </c>
      <c r="X1044" s="1"/>
      <c r="Y1044" s="1" t="str">
        <f>"02018000508202004"</f>
        <v>02018000508202004</v>
      </c>
      <c r="Z1044" s="1" t="s">
        <v>147</v>
      </c>
      <c r="AA1044" s="1" t="s">
        <v>4444</v>
      </c>
      <c r="AB1044" s="1" t="str">
        <f>"***111272**"</f>
        <v>***111272**</v>
      </c>
      <c r="AC1044" s="1"/>
      <c r="AD1044" s="1"/>
      <c r="AE1044" s="1"/>
      <c r="AF1044" s="1">
        <v>-50.654724</v>
      </c>
      <c r="AG1044" s="1">
        <v>-3.3375</v>
      </c>
      <c r="AH1044" s="1" t="s">
        <v>4445</v>
      </c>
      <c r="AI1044" s="1"/>
      <c r="AJ1044" s="1" t="s">
        <v>196</v>
      </c>
      <c r="AK1044" s="1"/>
      <c r="AL1044" s="1" t="s">
        <v>79</v>
      </c>
      <c r="AM1044" s="1" t="s">
        <v>65</v>
      </c>
      <c r="AN1044" s="1" t="s">
        <v>3087</v>
      </c>
      <c r="AO1044" s="2">
        <v>43892.0</v>
      </c>
      <c r="AP1044" s="2">
        <v>43892.460787037</v>
      </c>
      <c r="AQ1044" s="1" t="s">
        <v>80</v>
      </c>
      <c r="AR1044" s="1" t="s">
        <v>1607</v>
      </c>
      <c r="AS1044" s="1"/>
      <c r="AT1044" s="2">
        <v>44269.931099537</v>
      </c>
    </row>
    <row r="1045" ht="13.5" customHeight="1">
      <c r="A1045" s="1">
        <v>2035668.0</v>
      </c>
      <c r="B1045" s="1" t="s">
        <v>67</v>
      </c>
      <c r="C1045" s="1" t="s">
        <v>68</v>
      </c>
      <c r="D1045" s="1" t="s">
        <v>46</v>
      </c>
      <c r="E1045" s="1" t="s">
        <v>4446</v>
      </c>
      <c r="F1045" s="1"/>
      <c r="G1045" s="1" t="s">
        <v>70</v>
      </c>
      <c r="H1045" s="1" t="s">
        <v>93</v>
      </c>
      <c r="I1045" s="1">
        <v>1000.0</v>
      </c>
      <c r="J1045" s="1"/>
      <c r="K1045" s="1"/>
      <c r="L1045" s="1" t="s">
        <v>106</v>
      </c>
      <c r="M1045" s="1" t="s">
        <v>3880</v>
      </c>
      <c r="N1045" s="1" t="s">
        <v>95</v>
      </c>
      <c r="O1045" s="1" t="s">
        <v>96</v>
      </c>
      <c r="P1045" s="2">
        <v>43795.625</v>
      </c>
      <c r="Q1045" s="1" t="s">
        <v>74</v>
      </c>
      <c r="R1045" s="3">
        <v>43795.0</v>
      </c>
      <c r="S1045" s="1"/>
      <c r="T1045" s="1">
        <v>2304400.0</v>
      </c>
      <c r="U1045" s="1" t="s">
        <v>111</v>
      </c>
      <c r="V1045" s="1" t="s">
        <v>112</v>
      </c>
      <c r="W1045" s="1" t="s">
        <v>113</v>
      </c>
      <c r="X1045" s="1"/>
      <c r="Y1045" s="1" t="str">
        <f>"02007003949201945"</f>
        <v>02007003949201945</v>
      </c>
      <c r="Z1045" s="1" t="s">
        <v>98</v>
      </c>
      <c r="AA1045" s="1" t="s">
        <v>4447</v>
      </c>
      <c r="AB1045" s="1" t="str">
        <f t="shared" ref="AB1045:AB1046" si="53">"***269703**"</f>
        <v>***269703**</v>
      </c>
      <c r="AC1045" s="1"/>
      <c r="AD1045" s="1" t="s">
        <v>116</v>
      </c>
      <c r="AE1045" s="1"/>
      <c r="AF1045" s="1">
        <v>-38.623611</v>
      </c>
      <c r="AG1045" s="1">
        <v>-3.780833</v>
      </c>
      <c r="AH1045" s="1" t="s">
        <v>3803</v>
      </c>
      <c r="AI1045" s="1"/>
      <c r="AJ1045" s="1" t="s">
        <v>106</v>
      </c>
      <c r="AK1045" s="1" t="s">
        <v>4000</v>
      </c>
      <c r="AL1045" s="1" t="s">
        <v>79</v>
      </c>
      <c r="AM1045" s="1" t="s">
        <v>65</v>
      </c>
      <c r="AN1045" s="1" t="s">
        <v>3804</v>
      </c>
      <c r="AO1045" s="2">
        <v>43913.0</v>
      </c>
      <c r="AP1045" s="2">
        <v>44070.5451736111</v>
      </c>
      <c r="AQ1045" s="1" t="s">
        <v>80</v>
      </c>
      <c r="AR1045" s="1" t="s">
        <v>475</v>
      </c>
      <c r="AS1045" s="1"/>
      <c r="AT1045" s="2">
        <v>44269.931099537</v>
      </c>
    </row>
    <row r="1046" ht="13.5" customHeight="1">
      <c r="A1046" s="1">
        <v>2035675.0</v>
      </c>
      <c r="B1046" s="1" t="s">
        <v>67</v>
      </c>
      <c r="C1046" s="1" t="s">
        <v>68</v>
      </c>
      <c r="D1046" s="1" t="s">
        <v>46</v>
      </c>
      <c r="E1046" s="1" t="s">
        <v>4448</v>
      </c>
      <c r="F1046" s="1"/>
      <c r="G1046" s="1" t="s">
        <v>70</v>
      </c>
      <c r="H1046" s="1" t="s">
        <v>50</v>
      </c>
      <c r="I1046" s="1">
        <v>65500.0</v>
      </c>
      <c r="J1046" s="1"/>
      <c r="K1046" s="1"/>
      <c r="L1046" s="1" t="s">
        <v>106</v>
      </c>
      <c r="M1046" s="1" t="s">
        <v>3801</v>
      </c>
      <c r="N1046" s="1" t="s">
        <v>95</v>
      </c>
      <c r="O1046" s="1" t="s">
        <v>96</v>
      </c>
      <c r="P1046" s="2">
        <v>43795.625</v>
      </c>
      <c r="Q1046" s="1" t="s">
        <v>74</v>
      </c>
      <c r="R1046" s="3">
        <v>43795.0</v>
      </c>
      <c r="S1046" s="1"/>
      <c r="T1046" s="1">
        <v>2304400.0</v>
      </c>
      <c r="U1046" s="1" t="s">
        <v>111</v>
      </c>
      <c r="V1046" s="1" t="s">
        <v>112</v>
      </c>
      <c r="W1046" s="1" t="s">
        <v>113</v>
      </c>
      <c r="X1046" s="1"/>
      <c r="Y1046" s="1" t="str">
        <f>"02007003954201958"</f>
        <v>02007003954201958</v>
      </c>
      <c r="Z1046" s="1" t="s">
        <v>98</v>
      </c>
      <c r="AA1046" s="1" t="s">
        <v>4447</v>
      </c>
      <c r="AB1046" s="1" t="str">
        <f t="shared" si="53"/>
        <v>***269703**</v>
      </c>
      <c r="AC1046" s="1"/>
      <c r="AD1046" s="1" t="s">
        <v>116</v>
      </c>
      <c r="AE1046" s="1"/>
      <c r="AF1046" s="1">
        <v>-38.623611</v>
      </c>
      <c r="AG1046" s="1">
        <v>-3.910278</v>
      </c>
      <c r="AH1046" s="1" t="s">
        <v>3803</v>
      </c>
      <c r="AI1046" s="1"/>
      <c r="AJ1046" s="1" t="s">
        <v>106</v>
      </c>
      <c r="AK1046" s="1" t="s">
        <v>4000</v>
      </c>
      <c r="AL1046" s="1" t="s">
        <v>79</v>
      </c>
      <c r="AM1046" s="1" t="s">
        <v>65</v>
      </c>
      <c r="AN1046" s="1" t="s">
        <v>3804</v>
      </c>
      <c r="AO1046" s="2">
        <v>43913.0</v>
      </c>
      <c r="AP1046" s="2">
        <v>44070.5377893519</v>
      </c>
      <c r="AQ1046" s="1" t="s">
        <v>80</v>
      </c>
      <c r="AR1046" s="1" t="s">
        <v>3822</v>
      </c>
      <c r="AS1046" s="1"/>
      <c r="AT1046" s="2">
        <v>44269.931099537</v>
      </c>
    </row>
    <row r="1047" ht="13.5" customHeight="1">
      <c r="A1047" s="1">
        <v>2035843.0</v>
      </c>
      <c r="B1047" s="1" t="s">
        <v>67</v>
      </c>
      <c r="C1047" s="1" t="s">
        <v>68</v>
      </c>
      <c r="D1047" s="1" t="s">
        <v>46</v>
      </c>
      <c r="E1047" s="1" t="s">
        <v>4449</v>
      </c>
      <c r="F1047" s="1"/>
      <c r="G1047" s="1" t="s">
        <v>70</v>
      </c>
      <c r="H1047" s="1" t="s">
        <v>50</v>
      </c>
      <c r="I1047" s="1">
        <v>20000.0</v>
      </c>
      <c r="J1047" s="1"/>
      <c r="K1047" s="1"/>
      <c r="L1047" s="1" t="s">
        <v>196</v>
      </c>
      <c r="M1047" s="1" t="s">
        <v>4450</v>
      </c>
      <c r="N1047" s="1" t="s">
        <v>72</v>
      </c>
      <c r="O1047" s="1" t="s">
        <v>73</v>
      </c>
      <c r="P1047" s="2">
        <v>43795.625</v>
      </c>
      <c r="Q1047" s="1" t="s">
        <v>74</v>
      </c>
      <c r="R1047" s="3">
        <v>43795.0</v>
      </c>
      <c r="S1047" s="1"/>
      <c r="T1047" s="1">
        <v>1505809.0</v>
      </c>
      <c r="U1047" s="1" t="s">
        <v>3084</v>
      </c>
      <c r="V1047" s="1" t="s">
        <v>193</v>
      </c>
      <c r="W1047" s="1" t="s">
        <v>177</v>
      </c>
      <c r="X1047" s="1"/>
      <c r="Y1047" s="1" t="str">
        <f>"02018001914202086"</f>
        <v>02018001914202086</v>
      </c>
      <c r="Z1047" s="1" t="s">
        <v>76</v>
      </c>
      <c r="AA1047" s="1" t="s">
        <v>4451</v>
      </c>
      <c r="AB1047" s="1" t="str">
        <f t="shared" ref="AB1047:AB1048" si="54">"***755362**"</f>
        <v>***755362**</v>
      </c>
      <c r="AC1047" s="1"/>
      <c r="AD1047" s="1"/>
      <c r="AE1047" s="1"/>
      <c r="AF1047" s="1">
        <v>-50.838612</v>
      </c>
      <c r="AG1047" s="1">
        <v>-3.545278</v>
      </c>
      <c r="AH1047" s="1" t="s">
        <v>4452</v>
      </c>
      <c r="AI1047" s="1"/>
      <c r="AJ1047" s="1" t="s">
        <v>196</v>
      </c>
      <c r="AK1047" s="1"/>
      <c r="AL1047" s="1" t="s">
        <v>79</v>
      </c>
      <c r="AM1047" s="1" t="s">
        <v>65</v>
      </c>
      <c r="AN1047" s="1" t="s">
        <v>3087</v>
      </c>
      <c r="AO1047" s="2">
        <v>43920.0</v>
      </c>
      <c r="AP1047" s="2">
        <v>43920.7899768519</v>
      </c>
      <c r="AQ1047" s="1" t="s">
        <v>80</v>
      </c>
      <c r="AR1047" s="1" t="s">
        <v>1607</v>
      </c>
      <c r="AS1047" s="1"/>
      <c r="AT1047" s="2">
        <v>44269.931099537</v>
      </c>
    </row>
    <row r="1048" ht="13.5" customHeight="1">
      <c r="A1048" s="1">
        <v>2035844.0</v>
      </c>
      <c r="B1048" s="1" t="s">
        <v>67</v>
      </c>
      <c r="C1048" s="1" t="s">
        <v>68</v>
      </c>
      <c r="D1048" s="1" t="s">
        <v>46</v>
      </c>
      <c r="E1048" s="1" t="s">
        <v>4453</v>
      </c>
      <c r="F1048" s="1"/>
      <c r="G1048" s="1" t="s">
        <v>70</v>
      </c>
      <c r="H1048" s="1" t="s">
        <v>93</v>
      </c>
      <c r="I1048" s="1">
        <v>40000.0</v>
      </c>
      <c r="J1048" s="1"/>
      <c r="K1048" s="1"/>
      <c r="L1048" s="1" t="s">
        <v>196</v>
      </c>
      <c r="M1048" s="1" t="s">
        <v>4454</v>
      </c>
      <c r="N1048" s="1" t="s">
        <v>142</v>
      </c>
      <c r="O1048" s="1" t="s">
        <v>143</v>
      </c>
      <c r="P1048" s="2">
        <v>43795.625</v>
      </c>
      <c r="Q1048" s="1" t="s">
        <v>74</v>
      </c>
      <c r="R1048" s="3">
        <v>43795.0</v>
      </c>
      <c r="S1048" s="1"/>
      <c r="T1048" s="1">
        <v>1505809.0</v>
      </c>
      <c r="U1048" s="1" t="s">
        <v>3084</v>
      </c>
      <c r="V1048" s="1" t="s">
        <v>193</v>
      </c>
      <c r="W1048" s="1" t="s">
        <v>177</v>
      </c>
      <c r="X1048" s="1"/>
      <c r="Y1048" s="1" t="str">
        <f>"02018001915202021"</f>
        <v>02018001915202021</v>
      </c>
      <c r="Z1048" s="1" t="s">
        <v>147</v>
      </c>
      <c r="AA1048" s="1" t="s">
        <v>4451</v>
      </c>
      <c r="AB1048" s="1" t="str">
        <f t="shared" si="54"/>
        <v>***755362**</v>
      </c>
      <c r="AC1048" s="1"/>
      <c r="AD1048" s="1"/>
      <c r="AE1048" s="1"/>
      <c r="AF1048" s="1">
        <v>-50.838612</v>
      </c>
      <c r="AG1048" s="1">
        <v>-3.545278</v>
      </c>
      <c r="AH1048" s="1" t="s">
        <v>4452</v>
      </c>
      <c r="AI1048" s="1"/>
      <c r="AJ1048" s="1" t="s">
        <v>196</v>
      </c>
      <c r="AK1048" s="1"/>
      <c r="AL1048" s="1" t="s">
        <v>79</v>
      </c>
      <c r="AM1048" s="1" t="s">
        <v>65</v>
      </c>
      <c r="AN1048" s="1" t="s">
        <v>3087</v>
      </c>
      <c r="AO1048" s="2">
        <v>43920.0</v>
      </c>
      <c r="AP1048" s="2">
        <v>43920.7902083333</v>
      </c>
      <c r="AQ1048" s="1" t="s">
        <v>80</v>
      </c>
      <c r="AR1048" s="1" t="s">
        <v>3494</v>
      </c>
      <c r="AS1048" s="1"/>
      <c r="AT1048" s="2">
        <v>44269.931099537</v>
      </c>
    </row>
    <row r="1049" ht="13.5" customHeight="1">
      <c r="A1049" s="1">
        <v>2034834.0</v>
      </c>
      <c r="B1049" s="1" t="s">
        <v>67</v>
      </c>
      <c r="C1049" s="1" t="s">
        <v>68</v>
      </c>
      <c r="D1049" s="1" t="s">
        <v>46</v>
      </c>
      <c r="E1049" s="1" t="s">
        <v>4455</v>
      </c>
      <c r="F1049" s="1"/>
      <c r="G1049" s="1" t="s">
        <v>70</v>
      </c>
      <c r="H1049" s="1" t="s">
        <v>93</v>
      </c>
      <c r="I1049" s="1">
        <v>100000.0</v>
      </c>
      <c r="J1049" s="1"/>
      <c r="K1049" s="1"/>
      <c r="L1049" s="1" t="s">
        <v>196</v>
      </c>
      <c r="M1049" s="1" t="s">
        <v>4456</v>
      </c>
      <c r="N1049" s="1" t="s">
        <v>142</v>
      </c>
      <c r="O1049" s="1" t="s">
        <v>143</v>
      </c>
      <c r="P1049" s="2">
        <v>43795.5833333333</v>
      </c>
      <c r="Q1049" s="1" t="s">
        <v>74</v>
      </c>
      <c r="R1049" s="3">
        <v>43832.0</v>
      </c>
      <c r="S1049" s="1"/>
      <c r="T1049" s="1">
        <v>1505809.0</v>
      </c>
      <c r="U1049" s="1" t="s">
        <v>3084</v>
      </c>
      <c r="V1049" s="1" t="s">
        <v>193</v>
      </c>
      <c r="W1049" s="1" t="s">
        <v>177</v>
      </c>
      <c r="X1049" s="1"/>
      <c r="Y1049" s="1" t="str">
        <f>"02018001249202021"</f>
        <v>02018001249202021</v>
      </c>
      <c r="Z1049" s="1" t="s">
        <v>147</v>
      </c>
      <c r="AA1049" s="1" t="s">
        <v>4444</v>
      </c>
      <c r="AB1049" s="1" t="str">
        <f>"***111272**"</f>
        <v>***111272**</v>
      </c>
      <c r="AC1049" s="1"/>
      <c r="AD1049" s="1"/>
      <c r="AE1049" s="1"/>
      <c r="AF1049" s="1">
        <v>-50.654724</v>
      </c>
      <c r="AG1049" s="1">
        <v>-3.3375</v>
      </c>
      <c r="AH1049" s="1" t="s">
        <v>4457</v>
      </c>
      <c r="AI1049" s="1"/>
      <c r="AJ1049" s="1" t="s">
        <v>196</v>
      </c>
      <c r="AK1049" s="1"/>
      <c r="AL1049" s="1" t="s">
        <v>79</v>
      </c>
      <c r="AM1049" s="1" t="s">
        <v>65</v>
      </c>
      <c r="AN1049" s="1" t="s">
        <v>3087</v>
      </c>
      <c r="AO1049" s="2">
        <v>43892.0</v>
      </c>
      <c r="AP1049" s="2">
        <v>43892.4606134259</v>
      </c>
      <c r="AQ1049" s="1" t="s">
        <v>80</v>
      </c>
      <c r="AR1049" s="1" t="s">
        <v>392</v>
      </c>
      <c r="AS1049" s="1"/>
      <c r="AT1049" s="2">
        <v>44269.931099537</v>
      </c>
    </row>
    <row r="1050" ht="13.5" customHeight="1">
      <c r="A1050" s="1">
        <v>2038447.0</v>
      </c>
      <c r="B1050" s="1" t="s">
        <v>67</v>
      </c>
      <c r="C1050" s="1" t="s">
        <v>89</v>
      </c>
      <c r="D1050" s="1" t="s">
        <v>67</v>
      </c>
      <c r="E1050" s="1" t="s">
        <v>4458</v>
      </c>
      <c r="F1050" s="1"/>
      <c r="G1050" s="1" t="s">
        <v>70</v>
      </c>
      <c r="H1050" s="1" t="s">
        <v>93</v>
      </c>
      <c r="I1050" s="1">
        <v>180000.0</v>
      </c>
      <c r="J1050" s="1"/>
      <c r="K1050" s="1"/>
      <c r="L1050" s="1" t="s">
        <v>587</v>
      </c>
      <c r="M1050" s="1" t="s">
        <v>4459</v>
      </c>
      <c r="N1050" s="1" t="s">
        <v>95</v>
      </c>
      <c r="O1050" s="1" t="s">
        <v>96</v>
      </c>
      <c r="P1050" s="2">
        <v>43795.5833333333</v>
      </c>
      <c r="Q1050" s="1" t="s">
        <v>373</v>
      </c>
      <c r="R1050" s="3">
        <v>43795.0</v>
      </c>
      <c r="S1050" s="1"/>
      <c r="T1050" s="1">
        <v>3132503.0</v>
      </c>
      <c r="U1050" s="1" t="s">
        <v>4414</v>
      </c>
      <c r="V1050" s="1" t="s">
        <v>126</v>
      </c>
      <c r="W1050" s="1" t="s">
        <v>127</v>
      </c>
      <c r="X1050" s="1"/>
      <c r="Y1050" s="1" t="str">
        <f>"02566000055202000"</f>
        <v>02566000055202000</v>
      </c>
      <c r="Z1050" s="1" t="s">
        <v>98</v>
      </c>
      <c r="AA1050" s="1" t="s">
        <v>4415</v>
      </c>
      <c r="AB1050" s="1" t="str">
        <f>"***422766**"</f>
        <v>***422766**</v>
      </c>
      <c r="AC1050" s="1"/>
      <c r="AD1050" s="1"/>
      <c r="AE1050" s="1"/>
      <c r="AF1050" s="1">
        <v>-42.862778</v>
      </c>
      <c r="AG1050" s="1">
        <v>-17.859446</v>
      </c>
      <c r="AH1050" s="1" t="s">
        <v>4416</v>
      </c>
      <c r="AI1050" s="1"/>
      <c r="AJ1050" s="1" t="s">
        <v>587</v>
      </c>
      <c r="AK1050" s="1"/>
      <c r="AL1050" s="1" t="s">
        <v>79</v>
      </c>
      <c r="AM1050" s="1" t="s">
        <v>65</v>
      </c>
      <c r="AN1050" s="1" t="s">
        <v>592</v>
      </c>
      <c r="AO1050" s="2">
        <v>44034.0</v>
      </c>
      <c r="AP1050" s="2">
        <v>44034.6477199074</v>
      </c>
      <c r="AQ1050" s="1" t="s">
        <v>89</v>
      </c>
      <c r="AR1050" s="1" t="s">
        <v>2941</v>
      </c>
      <c r="AS1050" s="1"/>
      <c r="AT1050" s="2">
        <v>44269.931099537</v>
      </c>
    </row>
    <row r="1051" ht="13.5" customHeight="1">
      <c r="A1051" s="1"/>
      <c r="B1051" s="1" t="s">
        <v>46</v>
      </c>
      <c r="C1051" s="1" t="s">
        <v>47</v>
      </c>
      <c r="D1051" s="1"/>
      <c r="E1051" s="1" t="s">
        <v>4460</v>
      </c>
      <c r="F1051" s="1"/>
      <c r="G1051" s="1" t="s">
        <v>49</v>
      </c>
      <c r="H1051" s="1" t="s">
        <v>93</v>
      </c>
      <c r="I1051" s="1">
        <v>225000.0</v>
      </c>
      <c r="J1051" s="1"/>
      <c r="K1051" s="1"/>
      <c r="L1051" s="1"/>
      <c r="M1051" s="1" t="s">
        <v>4461</v>
      </c>
      <c r="N1051" s="1" t="s">
        <v>142</v>
      </c>
      <c r="O1051" s="1" t="s">
        <v>143</v>
      </c>
      <c r="P1051" s="2">
        <v>43795.5828240741</v>
      </c>
      <c r="Q1051" s="1" t="s">
        <v>373</v>
      </c>
      <c r="R1051" s="1"/>
      <c r="S1051" s="1"/>
      <c r="T1051" s="1">
        <v>1505486.0</v>
      </c>
      <c r="U1051" s="1" t="s">
        <v>3446</v>
      </c>
      <c r="V1051" s="1" t="s">
        <v>193</v>
      </c>
      <c r="W1051" s="1" t="s">
        <v>177</v>
      </c>
      <c r="X1051" s="1"/>
      <c r="Y1051" s="1"/>
      <c r="Z1051" s="1" t="s">
        <v>147</v>
      </c>
      <c r="AA1051" s="1" t="s">
        <v>4436</v>
      </c>
      <c r="AB1051" s="1" t="str">
        <f>"***687502**"</f>
        <v>***687502**</v>
      </c>
      <c r="AC1051" s="1"/>
      <c r="AD1051" s="1" t="s">
        <v>116</v>
      </c>
      <c r="AE1051" s="1"/>
      <c r="AF1051" s="1">
        <v>-50.685276</v>
      </c>
      <c r="AG1051" s="1">
        <v>-3.793056</v>
      </c>
      <c r="AH1051" s="1" t="s">
        <v>4462</v>
      </c>
      <c r="AI1051" s="1"/>
      <c r="AJ1051" s="1" t="s">
        <v>1172</v>
      </c>
      <c r="AK1051" s="1"/>
      <c r="AL1051" s="1"/>
      <c r="AM1051" s="1" t="s">
        <v>65</v>
      </c>
      <c r="AN1051" s="1" t="s">
        <v>3087</v>
      </c>
      <c r="AO1051" s="1"/>
      <c r="AP1051" s="2">
        <v>43795.5934837963</v>
      </c>
      <c r="AQ1051" s="1"/>
      <c r="AR1051" s="1" t="s">
        <v>871</v>
      </c>
      <c r="AS1051" s="1"/>
      <c r="AT1051" s="2">
        <v>44269.931099537</v>
      </c>
    </row>
    <row r="1052" ht="13.5" customHeight="1">
      <c r="A1052" s="1"/>
      <c r="B1052" s="1" t="s">
        <v>46</v>
      </c>
      <c r="C1052" s="1" t="s">
        <v>47</v>
      </c>
      <c r="D1052" s="1"/>
      <c r="E1052" s="1" t="s">
        <v>4463</v>
      </c>
      <c r="F1052" s="1"/>
      <c r="G1052" s="1" t="s">
        <v>49</v>
      </c>
      <c r="H1052" s="1" t="s">
        <v>93</v>
      </c>
      <c r="I1052" s="1">
        <v>150000.0</v>
      </c>
      <c r="J1052" s="1"/>
      <c r="K1052" s="1"/>
      <c r="L1052" s="1"/>
      <c r="M1052" s="1" t="s">
        <v>4464</v>
      </c>
      <c r="N1052" s="1" t="s">
        <v>142</v>
      </c>
      <c r="O1052" s="1" t="s">
        <v>143</v>
      </c>
      <c r="P1052" s="2">
        <v>43795.5702777778</v>
      </c>
      <c r="Q1052" s="1" t="s">
        <v>373</v>
      </c>
      <c r="R1052" s="1"/>
      <c r="S1052" s="1"/>
      <c r="T1052" s="1">
        <v>5006606.0</v>
      </c>
      <c r="U1052" s="1" t="s">
        <v>4194</v>
      </c>
      <c r="V1052" s="1" t="s">
        <v>529</v>
      </c>
      <c r="W1052" s="1" t="s">
        <v>59</v>
      </c>
      <c r="X1052" s="1"/>
      <c r="Y1052" s="1"/>
      <c r="Z1052" s="1" t="s">
        <v>147</v>
      </c>
      <c r="AA1052" s="1" t="s">
        <v>4465</v>
      </c>
      <c r="AB1052" s="1" t="str">
        <f>"***581821**"</f>
        <v>***581821**</v>
      </c>
      <c r="AC1052" s="1"/>
      <c r="AD1052" s="1" t="s">
        <v>62</v>
      </c>
      <c r="AE1052" s="1"/>
      <c r="AF1052" s="1">
        <v>-57.450832</v>
      </c>
      <c r="AG1052" s="1">
        <v>-22.258333</v>
      </c>
      <c r="AH1052" s="1" t="s">
        <v>4466</v>
      </c>
      <c r="AI1052" s="1"/>
      <c r="AJ1052" s="1" t="s">
        <v>533</v>
      </c>
      <c r="AK1052" s="1"/>
      <c r="AL1052" s="1"/>
      <c r="AM1052" s="1" t="s">
        <v>65</v>
      </c>
      <c r="AN1052" s="1" t="s">
        <v>4197</v>
      </c>
      <c r="AO1052" s="1"/>
      <c r="AP1052" s="2">
        <v>43795.5809606482</v>
      </c>
      <c r="AQ1052" s="1"/>
      <c r="AR1052" s="1" t="s">
        <v>433</v>
      </c>
      <c r="AS1052" s="1" t="s">
        <v>4467</v>
      </c>
      <c r="AT1052" s="2">
        <v>44269.931099537</v>
      </c>
    </row>
    <row r="1053" ht="13.5" customHeight="1">
      <c r="A1053" s="1"/>
      <c r="B1053" s="1" t="s">
        <v>46</v>
      </c>
      <c r="C1053" s="1" t="s">
        <v>47</v>
      </c>
      <c r="D1053" s="1"/>
      <c r="E1053" s="1" t="s">
        <v>4468</v>
      </c>
      <c r="F1053" s="1"/>
      <c r="G1053" s="1" t="s">
        <v>49</v>
      </c>
      <c r="H1053" s="1" t="s">
        <v>50</v>
      </c>
      <c r="I1053" s="1">
        <v>500.0</v>
      </c>
      <c r="J1053" s="1"/>
      <c r="K1053" s="1" t="s">
        <v>51</v>
      </c>
      <c r="L1053" s="1"/>
      <c r="M1053" s="1" t="s">
        <v>4469</v>
      </c>
      <c r="N1053" s="1" t="s">
        <v>72</v>
      </c>
      <c r="O1053" s="1" t="s">
        <v>1364</v>
      </c>
      <c r="P1053" s="2">
        <v>43795.5301736111</v>
      </c>
      <c r="Q1053" s="1" t="s">
        <v>74</v>
      </c>
      <c r="R1053" s="3">
        <v>43796.0</v>
      </c>
      <c r="S1053" s="1"/>
      <c r="T1053" s="1">
        <v>4106902.0</v>
      </c>
      <c r="U1053" s="1" t="s">
        <v>355</v>
      </c>
      <c r="V1053" s="1" t="s">
        <v>176</v>
      </c>
      <c r="W1053" s="1" t="s">
        <v>59</v>
      </c>
      <c r="X1053" s="1"/>
      <c r="Y1053" s="1"/>
      <c r="Z1053" s="1"/>
      <c r="AA1053" s="1" t="s">
        <v>4470</v>
      </c>
      <c r="AB1053" s="1" t="str">
        <f>"***609528**"</f>
        <v>***609528**</v>
      </c>
      <c r="AC1053" s="1"/>
      <c r="AD1053" s="1" t="s">
        <v>62</v>
      </c>
      <c r="AE1053" s="1"/>
      <c r="AF1053" s="1">
        <v>-47.933056</v>
      </c>
      <c r="AG1053" s="1">
        <v>-15.83</v>
      </c>
      <c r="AH1053" s="1" t="s">
        <v>4471</v>
      </c>
      <c r="AI1053" s="1"/>
      <c r="AJ1053" s="1" t="s">
        <v>358</v>
      </c>
      <c r="AK1053" s="1"/>
      <c r="AL1053" s="1"/>
      <c r="AM1053" s="1" t="s">
        <v>65</v>
      </c>
      <c r="AN1053" s="1" t="s">
        <v>359</v>
      </c>
      <c r="AO1053" s="1"/>
      <c r="AP1053" s="2">
        <v>43937.6975578704</v>
      </c>
      <c r="AQ1053" s="1"/>
      <c r="AR1053" s="1" t="s">
        <v>721</v>
      </c>
      <c r="AS1053" s="1"/>
      <c r="AT1053" s="2">
        <v>44269.931099537</v>
      </c>
    </row>
    <row r="1054" ht="13.5" customHeight="1">
      <c r="A1054" s="1">
        <v>2039400.0</v>
      </c>
      <c r="B1054" s="1" t="s">
        <v>67</v>
      </c>
      <c r="C1054" s="1" t="s">
        <v>68</v>
      </c>
      <c r="D1054" s="1" t="s">
        <v>46</v>
      </c>
      <c r="E1054" s="1" t="s">
        <v>4472</v>
      </c>
      <c r="F1054" s="1"/>
      <c r="G1054" s="1" t="s">
        <v>70</v>
      </c>
      <c r="H1054" s="1" t="s">
        <v>93</v>
      </c>
      <c r="I1054" s="1">
        <v>7500.0</v>
      </c>
      <c r="J1054" s="1"/>
      <c r="K1054" s="1"/>
      <c r="L1054" s="1" t="s">
        <v>291</v>
      </c>
      <c r="M1054" s="1" t="s">
        <v>4473</v>
      </c>
      <c r="N1054" s="1" t="s">
        <v>95</v>
      </c>
      <c r="O1054" s="1" t="s">
        <v>96</v>
      </c>
      <c r="P1054" s="2">
        <v>43795.4583333333</v>
      </c>
      <c r="Q1054" s="1" t="s">
        <v>74</v>
      </c>
      <c r="R1054" s="1"/>
      <c r="S1054" s="1"/>
      <c r="T1054" s="1">
        <v>3303500.0</v>
      </c>
      <c r="U1054" s="1" t="s">
        <v>4474</v>
      </c>
      <c r="V1054" s="1" t="s">
        <v>287</v>
      </c>
      <c r="W1054" s="1" t="s">
        <v>59</v>
      </c>
      <c r="X1054" s="1"/>
      <c r="Y1054" s="1" t="str">
        <f>"02022000659202095"</f>
        <v>02022000659202095</v>
      </c>
      <c r="Z1054" s="1" t="s">
        <v>98</v>
      </c>
      <c r="AA1054" s="1" t="s">
        <v>4475</v>
      </c>
      <c r="AB1054" s="1" t="str">
        <f>"***895807**"</f>
        <v>***895807**</v>
      </c>
      <c r="AC1054" s="1"/>
      <c r="AD1054" s="1"/>
      <c r="AE1054" s="1"/>
      <c r="AF1054" s="1">
        <v>-43.174725</v>
      </c>
      <c r="AG1054" s="1">
        <v>-22.903055</v>
      </c>
      <c r="AH1054" s="1" t="s">
        <v>4476</v>
      </c>
      <c r="AI1054" s="1"/>
      <c r="AJ1054" s="1" t="s">
        <v>291</v>
      </c>
      <c r="AK1054" s="1"/>
      <c r="AL1054" s="1" t="s">
        <v>79</v>
      </c>
      <c r="AM1054" s="1" t="s">
        <v>65</v>
      </c>
      <c r="AN1054" s="1" t="s">
        <v>4477</v>
      </c>
      <c r="AO1054" s="2">
        <v>44061.0</v>
      </c>
      <c r="AP1054" s="2">
        <v>44061.6388310185</v>
      </c>
      <c r="AQ1054" s="1" t="s">
        <v>80</v>
      </c>
      <c r="AR1054" s="1" t="s">
        <v>4091</v>
      </c>
      <c r="AS1054" s="1"/>
      <c r="AT1054" s="2">
        <v>44269.931099537</v>
      </c>
    </row>
    <row r="1055" ht="13.5" customHeight="1">
      <c r="A1055" s="1">
        <v>2035842.0</v>
      </c>
      <c r="B1055" s="1" t="s">
        <v>67</v>
      </c>
      <c r="C1055" s="1" t="s">
        <v>68</v>
      </c>
      <c r="D1055" s="1" t="s">
        <v>46</v>
      </c>
      <c r="E1055" s="1" t="s">
        <v>4478</v>
      </c>
      <c r="F1055" s="1"/>
      <c r="G1055" s="1" t="s">
        <v>70</v>
      </c>
      <c r="H1055" s="1" t="s">
        <v>93</v>
      </c>
      <c r="I1055" s="1">
        <v>235000.0</v>
      </c>
      <c r="J1055" s="1"/>
      <c r="K1055" s="1"/>
      <c r="L1055" s="1" t="s">
        <v>196</v>
      </c>
      <c r="M1055" s="1" t="s">
        <v>4479</v>
      </c>
      <c r="N1055" s="1" t="s">
        <v>142</v>
      </c>
      <c r="O1055" s="1" t="s">
        <v>143</v>
      </c>
      <c r="P1055" s="2">
        <v>43795.4166666667</v>
      </c>
      <c r="Q1055" s="1" t="s">
        <v>74</v>
      </c>
      <c r="R1055" s="3">
        <v>43795.0</v>
      </c>
      <c r="S1055" s="1"/>
      <c r="T1055" s="1">
        <v>1505809.0</v>
      </c>
      <c r="U1055" s="1" t="s">
        <v>3084</v>
      </c>
      <c r="V1055" s="1" t="s">
        <v>193</v>
      </c>
      <c r="W1055" s="1" t="s">
        <v>177</v>
      </c>
      <c r="X1055" s="1"/>
      <c r="Y1055" s="1" t="str">
        <f>"02018001913202031"</f>
        <v>02018001913202031</v>
      </c>
      <c r="Z1055" s="1" t="s">
        <v>147</v>
      </c>
      <c r="AA1055" s="1" t="s">
        <v>4451</v>
      </c>
      <c r="AB1055" s="1" t="str">
        <f>"***755362**"</f>
        <v>***755362**</v>
      </c>
      <c r="AC1055" s="1"/>
      <c r="AD1055" s="1"/>
      <c r="AE1055" s="1"/>
      <c r="AF1055" s="1">
        <v>-50.861668</v>
      </c>
      <c r="AG1055" s="1">
        <v>-3.511667</v>
      </c>
      <c r="AH1055" s="1" t="s">
        <v>4480</v>
      </c>
      <c r="AI1055" s="1"/>
      <c r="AJ1055" s="1" t="s">
        <v>196</v>
      </c>
      <c r="AK1055" s="1"/>
      <c r="AL1055" s="1" t="s">
        <v>79</v>
      </c>
      <c r="AM1055" s="1" t="s">
        <v>65</v>
      </c>
      <c r="AN1055" s="1" t="s">
        <v>3087</v>
      </c>
      <c r="AO1055" s="2">
        <v>43920.0</v>
      </c>
      <c r="AP1055" s="2">
        <v>43920.7897685185</v>
      </c>
      <c r="AQ1055" s="1" t="s">
        <v>80</v>
      </c>
      <c r="AR1055" s="1" t="s">
        <v>3494</v>
      </c>
      <c r="AS1055" s="1"/>
      <c r="AT1055" s="2">
        <v>44269.931099537</v>
      </c>
    </row>
    <row r="1056" ht="13.5" customHeight="1">
      <c r="A1056" s="1">
        <v>2034507.0</v>
      </c>
      <c r="B1056" s="1" t="s">
        <v>67</v>
      </c>
      <c r="C1056" s="1" t="s">
        <v>68</v>
      </c>
      <c r="D1056" s="1" t="s">
        <v>46</v>
      </c>
      <c r="E1056" s="1" t="s">
        <v>4481</v>
      </c>
      <c r="F1056" s="1"/>
      <c r="G1056" s="1" t="s">
        <v>70</v>
      </c>
      <c r="H1056" s="1" t="s">
        <v>93</v>
      </c>
      <c r="I1056" s="1">
        <v>1000.0</v>
      </c>
      <c r="J1056" s="1"/>
      <c r="K1056" s="1"/>
      <c r="L1056" s="1" t="s">
        <v>106</v>
      </c>
      <c r="M1056" s="1" t="s">
        <v>4482</v>
      </c>
      <c r="N1056" s="1" t="s">
        <v>95</v>
      </c>
      <c r="O1056" s="1" t="s">
        <v>96</v>
      </c>
      <c r="P1056" s="2">
        <v>43795.4076388889</v>
      </c>
      <c r="Q1056" s="1" t="s">
        <v>74</v>
      </c>
      <c r="R1056" s="1"/>
      <c r="S1056" s="1"/>
      <c r="T1056" s="1">
        <v>2304400.0</v>
      </c>
      <c r="U1056" s="1" t="s">
        <v>111</v>
      </c>
      <c r="V1056" s="1" t="s">
        <v>112</v>
      </c>
      <c r="W1056" s="1" t="s">
        <v>113</v>
      </c>
      <c r="X1056" s="1"/>
      <c r="Y1056" s="1" t="str">
        <f>"02007003890201995"</f>
        <v>02007003890201995</v>
      </c>
      <c r="Z1056" s="1" t="s">
        <v>1267</v>
      </c>
      <c r="AA1056" s="1" t="s">
        <v>3997</v>
      </c>
      <c r="AB1056" s="1" t="str">
        <f>"***309794**"</f>
        <v>***309794**</v>
      </c>
      <c r="AC1056" s="1"/>
      <c r="AD1056" s="1" t="s">
        <v>116</v>
      </c>
      <c r="AE1056" s="1"/>
      <c r="AF1056" s="1">
        <v>0.0</v>
      </c>
      <c r="AG1056" s="1">
        <v>0.0</v>
      </c>
      <c r="AH1056" s="1" t="s">
        <v>3819</v>
      </c>
      <c r="AI1056" s="1"/>
      <c r="AJ1056" s="1"/>
      <c r="AK1056" s="1"/>
      <c r="AL1056" s="1" t="s">
        <v>118</v>
      </c>
      <c r="AM1056" s="1"/>
      <c r="AN1056" s="1"/>
      <c r="AO1056" s="2">
        <v>43879.7056134259</v>
      </c>
      <c r="AP1056" s="2">
        <v>43879.7056134259</v>
      </c>
      <c r="AQ1056" s="1" t="s">
        <v>80</v>
      </c>
      <c r="AR1056" s="1" t="s">
        <v>1270</v>
      </c>
      <c r="AS1056" s="1"/>
      <c r="AT1056" s="2">
        <v>44269.931099537</v>
      </c>
    </row>
    <row r="1057" ht="13.5" customHeight="1">
      <c r="A1057" s="1">
        <v>2034526.0</v>
      </c>
      <c r="B1057" s="1" t="s">
        <v>67</v>
      </c>
      <c r="C1057" s="1" t="s">
        <v>68</v>
      </c>
      <c r="D1057" s="1" t="s">
        <v>46</v>
      </c>
      <c r="E1057" s="1" t="s">
        <v>4483</v>
      </c>
      <c r="F1057" s="1"/>
      <c r="G1057" s="1" t="s">
        <v>70</v>
      </c>
      <c r="H1057" s="1" t="s">
        <v>93</v>
      </c>
      <c r="I1057" s="1">
        <v>65500.0</v>
      </c>
      <c r="J1057" s="1"/>
      <c r="K1057" s="1"/>
      <c r="L1057" s="1" t="s">
        <v>106</v>
      </c>
      <c r="M1057" s="1" t="s">
        <v>4484</v>
      </c>
      <c r="N1057" s="1" t="s">
        <v>95</v>
      </c>
      <c r="O1057" s="1" t="s">
        <v>96</v>
      </c>
      <c r="P1057" s="2">
        <v>43795.3881944444</v>
      </c>
      <c r="Q1057" s="1" t="s">
        <v>74</v>
      </c>
      <c r="R1057" s="1"/>
      <c r="S1057" s="1"/>
      <c r="T1057" s="1">
        <v>2303709.0</v>
      </c>
      <c r="U1057" s="1" t="s">
        <v>3994</v>
      </c>
      <c r="V1057" s="1" t="s">
        <v>112</v>
      </c>
      <c r="W1057" s="1" t="s">
        <v>113</v>
      </c>
      <c r="X1057" s="1"/>
      <c r="Y1057" s="1" t="str">
        <f>"02007003891201930"</f>
        <v>02007003891201930</v>
      </c>
      <c r="Z1057" s="1" t="s">
        <v>3814</v>
      </c>
      <c r="AA1057" s="1" t="s">
        <v>4485</v>
      </c>
      <c r="AB1057" s="1" t="str">
        <f t="shared" ref="AB1057:AB1058" si="55">"***592313**"</f>
        <v>***592313**</v>
      </c>
      <c r="AC1057" s="1"/>
      <c r="AD1057" s="1" t="s">
        <v>116</v>
      </c>
      <c r="AE1057" s="1"/>
      <c r="AF1057" s="1">
        <v>0.0</v>
      </c>
      <c r="AG1057" s="1">
        <v>0.0</v>
      </c>
      <c r="AH1057" s="1" t="s">
        <v>3819</v>
      </c>
      <c r="AI1057" s="1"/>
      <c r="AJ1057" s="1"/>
      <c r="AK1057" s="1"/>
      <c r="AL1057" s="1" t="s">
        <v>118</v>
      </c>
      <c r="AM1057" s="1"/>
      <c r="AN1057" s="1"/>
      <c r="AO1057" s="2">
        <v>43881.6467824074</v>
      </c>
      <c r="AP1057" s="2">
        <v>43881.6467824074</v>
      </c>
      <c r="AQ1057" s="1" t="s">
        <v>80</v>
      </c>
      <c r="AR1057" s="1" t="s">
        <v>3805</v>
      </c>
      <c r="AS1057" s="1"/>
      <c r="AT1057" s="2">
        <v>44269.931099537</v>
      </c>
    </row>
    <row r="1058" ht="13.5" customHeight="1">
      <c r="A1058" s="1">
        <v>2034523.0</v>
      </c>
      <c r="B1058" s="1" t="s">
        <v>67</v>
      </c>
      <c r="C1058" s="1" t="s">
        <v>68</v>
      </c>
      <c r="D1058" s="1" t="s">
        <v>46</v>
      </c>
      <c r="E1058" s="1" t="s">
        <v>4486</v>
      </c>
      <c r="F1058" s="1"/>
      <c r="G1058" s="1" t="s">
        <v>70</v>
      </c>
      <c r="H1058" s="1" t="s">
        <v>93</v>
      </c>
      <c r="I1058" s="1">
        <v>1000.0</v>
      </c>
      <c r="J1058" s="1"/>
      <c r="K1058" s="1"/>
      <c r="L1058" s="1" t="s">
        <v>106</v>
      </c>
      <c r="M1058" s="1" t="s">
        <v>3870</v>
      </c>
      <c r="N1058" s="1" t="s">
        <v>95</v>
      </c>
      <c r="O1058" s="1" t="s">
        <v>96</v>
      </c>
      <c r="P1058" s="2">
        <v>43795.3652777778</v>
      </c>
      <c r="Q1058" s="1" t="s">
        <v>74</v>
      </c>
      <c r="R1058" s="1"/>
      <c r="S1058" s="1"/>
      <c r="T1058" s="1">
        <v>2303709.0</v>
      </c>
      <c r="U1058" s="1" t="s">
        <v>3994</v>
      </c>
      <c r="V1058" s="1" t="s">
        <v>112</v>
      </c>
      <c r="W1058" s="1" t="s">
        <v>113</v>
      </c>
      <c r="X1058" s="1"/>
      <c r="Y1058" s="1" t="str">
        <f>"02007003892201984"</f>
        <v>02007003892201984</v>
      </c>
      <c r="Z1058" s="1" t="s">
        <v>1267</v>
      </c>
      <c r="AA1058" s="1" t="s">
        <v>4485</v>
      </c>
      <c r="AB1058" s="1" t="str">
        <f t="shared" si="55"/>
        <v>***592313**</v>
      </c>
      <c r="AC1058" s="1"/>
      <c r="AD1058" s="1" t="s">
        <v>116</v>
      </c>
      <c r="AE1058" s="1"/>
      <c r="AF1058" s="1">
        <v>0.0</v>
      </c>
      <c r="AG1058" s="1">
        <v>0.0</v>
      </c>
      <c r="AH1058" s="1" t="s">
        <v>3819</v>
      </c>
      <c r="AI1058" s="1"/>
      <c r="AJ1058" s="1"/>
      <c r="AK1058" s="1"/>
      <c r="AL1058" s="1" t="s">
        <v>118</v>
      </c>
      <c r="AM1058" s="1"/>
      <c r="AN1058" s="1"/>
      <c r="AO1058" s="2">
        <v>43881.5827430556</v>
      </c>
      <c r="AP1058" s="2">
        <v>43881.5827430556</v>
      </c>
      <c r="AQ1058" s="1" t="s">
        <v>80</v>
      </c>
      <c r="AR1058" s="1" t="s">
        <v>1270</v>
      </c>
      <c r="AS1058" s="1"/>
      <c r="AT1058" s="2">
        <v>44269.931099537</v>
      </c>
    </row>
    <row r="1059" ht="13.5" customHeight="1">
      <c r="A1059" s="1">
        <v>2034527.0</v>
      </c>
      <c r="B1059" s="1" t="s">
        <v>67</v>
      </c>
      <c r="C1059" s="1" t="s">
        <v>68</v>
      </c>
      <c r="D1059" s="1" t="s">
        <v>46</v>
      </c>
      <c r="E1059" s="1" t="s">
        <v>4487</v>
      </c>
      <c r="F1059" s="1"/>
      <c r="G1059" s="1" t="s">
        <v>70</v>
      </c>
      <c r="H1059" s="1" t="s">
        <v>93</v>
      </c>
      <c r="I1059" s="1">
        <v>500.0</v>
      </c>
      <c r="J1059" s="1"/>
      <c r="K1059" s="1"/>
      <c r="L1059" s="1" t="s">
        <v>106</v>
      </c>
      <c r="M1059" s="1" t="s">
        <v>4488</v>
      </c>
      <c r="N1059" s="1" t="s">
        <v>95</v>
      </c>
      <c r="O1059" s="1" t="s">
        <v>96</v>
      </c>
      <c r="P1059" s="2">
        <v>43795.3361111111</v>
      </c>
      <c r="Q1059" s="1" t="s">
        <v>74</v>
      </c>
      <c r="R1059" s="1"/>
      <c r="S1059" s="1"/>
      <c r="T1059" s="1">
        <v>2304400.0</v>
      </c>
      <c r="U1059" s="1" t="s">
        <v>111</v>
      </c>
      <c r="V1059" s="1" t="s">
        <v>112</v>
      </c>
      <c r="W1059" s="1" t="s">
        <v>113</v>
      </c>
      <c r="X1059" s="1"/>
      <c r="Y1059" s="1" t="str">
        <f>"02007003894201973"</f>
        <v>02007003894201973</v>
      </c>
      <c r="Z1059" s="1" t="s">
        <v>1267</v>
      </c>
      <c r="AA1059" s="1" t="s">
        <v>4489</v>
      </c>
      <c r="AB1059" s="1" t="str">
        <f>"***580923**"</f>
        <v>***580923**</v>
      </c>
      <c r="AC1059" s="1"/>
      <c r="AD1059" s="1" t="s">
        <v>116</v>
      </c>
      <c r="AE1059" s="1"/>
      <c r="AF1059" s="1">
        <v>0.0</v>
      </c>
      <c r="AG1059" s="1">
        <v>0.0</v>
      </c>
      <c r="AH1059" s="1" t="s">
        <v>3819</v>
      </c>
      <c r="AI1059" s="1"/>
      <c r="AJ1059" s="1"/>
      <c r="AK1059" s="1"/>
      <c r="AL1059" s="1" t="s">
        <v>118</v>
      </c>
      <c r="AM1059" s="1"/>
      <c r="AN1059" s="1"/>
      <c r="AO1059" s="2">
        <v>43881.6544444445</v>
      </c>
      <c r="AP1059" s="2">
        <v>43881.6544444445</v>
      </c>
      <c r="AQ1059" s="1" t="s">
        <v>80</v>
      </c>
      <c r="AR1059" s="1" t="s">
        <v>1270</v>
      </c>
      <c r="AS1059" s="1"/>
      <c r="AT1059" s="2">
        <v>44269.931099537</v>
      </c>
    </row>
    <row r="1060" ht="13.5" customHeight="1">
      <c r="A1060" s="1">
        <v>2038972.0</v>
      </c>
      <c r="B1060" s="1" t="s">
        <v>67</v>
      </c>
      <c r="C1060" s="1" t="s">
        <v>68</v>
      </c>
      <c r="D1060" s="1" t="s">
        <v>46</v>
      </c>
      <c r="E1060" s="1" t="s">
        <v>4490</v>
      </c>
      <c r="F1060" s="1"/>
      <c r="G1060" s="1" t="s">
        <v>70</v>
      </c>
      <c r="H1060" s="1" t="s">
        <v>93</v>
      </c>
      <c r="I1060" s="1">
        <v>15000.0</v>
      </c>
      <c r="J1060" s="1"/>
      <c r="K1060" s="1"/>
      <c r="L1060" s="1" t="s">
        <v>1172</v>
      </c>
      <c r="M1060" s="1" t="s">
        <v>4491</v>
      </c>
      <c r="N1060" s="1" t="s">
        <v>142</v>
      </c>
      <c r="O1060" s="1" t="s">
        <v>143</v>
      </c>
      <c r="P1060" s="2">
        <v>43795.0</v>
      </c>
      <c r="Q1060" s="1" t="s">
        <v>373</v>
      </c>
      <c r="R1060" s="3">
        <v>43795.0</v>
      </c>
      <c r="S1060" s="1"/>
      <c r="T1060" s="1">
        <v>1505486.0</v>
      </c>
      <c r="U1060" s="1" t="s">
        <v>3446</v>
      </c>
      <c r="V1060" s="1" t="s">
        <v>193</v>
      </c>
      <c r="W1060" s="1" t="s">
        <v>177</v>
      </c>
      <c r="X1060" s="1"/>
      <c r="Y1060" s="1"/>
      <c r="Z1060" s="1" t="s">
        <v>147</v>
      </c>
      <c r="AA1060" s="1" t="s">
        <v>4492</v>
      </c>
      <c r="AB1060" s="1" t="str">
        <f t="shared" ref="AB1060:AB1061" si="56">"***722771**"</f>
        <v>***722771**</v>
      </c>
      <c r="AC1060" s="1"/>
      <c r="AD1060" s="1"/>
      <c r="AE1060" s="1"/>
      <c r="AF1060" s="1">
        <v>-50.665833</v>
      </c>
      <c r="AG1060" s="1">
        <v>-3.816667</v>
      </c>
      <c r="AH1060" s="1" t="s">
        <v>4493</v>
      </c>
      <c r="AI1060" s="1"/>
      <c r="AJ1060" s="1" t="s">
        <v>1172</v>
      </c>
      <c r="AK1060" s="1"/>
      <c r="AL1060" s="1" t="s">
        <v>79</v>
      </c>
      <c r="AM1060" s="1" t="s">
        <v>65</v>
      </c>
      <c r="AN1060" s="1" t="s">
        <v>3087</v>
      </c>
      <c r="AO1060" s="2">
        <v>44050.0</v>
      </c>
      <c r="AP1060" s="2">
        <v>44050.4645138889</v>
      </c>
      <c r="AQ1060" s="1" t="s">
        <v>80</v>
      </c>
      <c r="AR1060" s="1" t="s">
        <v>392</v>
      </c>
      <c r="AS1060" s="1"/>
      <c r="AT1060" s="2">
        <v>44269.931099537</v>
      </c>
    </row>
    <row r="1061" ht="13.5" customHeight="1">
      <c r="A1061" s="1">
        <v>2038973.0</v>
      </c>
      <c r="B1061" s="1" t="s">
        <v>67</v>
      </c>
      <c r="C1061" s="1" t="s">
        <v>68</v>
      </c>
      <c r="D1061" s="1" t="s">
        <v>46</v>
      </c>
      <c r="E1061" s="1" t="s">
        <v>4494</v>
      </c>
      <c r="F1061" s="1"/>
      <c r="G1061" s="1" t="s">
        <v>70</v>
      </c>
      <c r="H1061" s="1" t="s">
        <v>93</v>
      </c>
      <c r="I1061" s="1">
        <v>20000.0</v>
      </c>
      <c r="J1061" s="1"/>
      <c r="K1061" s="1"/>
      <c r="L1061" s="1" t="s">
        <v>1172</v>
      </c>
      <c r="M1061" s="1" t="s">
        <v>4495</v>
      </c>
      <c r="N1061" s="1" t="s">
        <v>142</v>
      </c>
      <c r="O1061" s="1" t="s">
        <v>143</v>
      </c>
      <c r="P1061" s="2">
        <v>43795.0</v>
      </c>
      <c r="Q1061" s="1" t="s">
        <v>373</v>
      </c>
      <c r="R1061" s="3">
        <v>43795.0</v>
      </c>
      <c r="S1061" s="1"/>
      <c r="T1061" s="1">
        <v>1505486.0</v>
      </c>
      <c r="U1061" s="1" t="s">
        <v>3446</v>
      </c>
      <c r="V1061" s="1" t="s">
        <v>193</v>
      </c>
      <c r="W1061" s="1" t="s">
        <v>177</v>
      </c>
      <c r="X1061" s="1"/>
      <c r="Y1061" s="1"/>
      <c r="Z1061" s="1" t="s">
        <v>147</v>
      </c>
      <c r="AA1061" s="1" t="s">
        <v>4492</v>
      </c>
      <c r="AB1061" s="1" t="str">
        <f t="shared" si="56"/>
        <v>***722771**</v>
      </c>
      <c r="AC1061" s="1"/>
      <c r="AD1061" s="1"/>
      <c r="AE1061" s="1"/>
      <c r="AF1061" s="1">
        <v>-50.665833</v>
      </c>
      <c r="AG1061" s="1">
        <v>-3.816667</v>
      </c>
      <c r="AH1061" s="1" t="s">
        <v>4496</v>
      </c>
      <c r="AI1061" s="1"/>
      <c r="AJ1061" s="1" t="s">
        <v>1172</v>
      </c>
      <c r="AK1061" s="1"/>
      <c r="AL1061" s="1" t="s">
        <v>79</v>
      </c>
      <c r="AM1061" s="1" t="s">
        <v>65</v>
      </c>
      <c r="AN1061" s="1" t="s">
        <v>3087</v>
      </c>
      <c r="AO1061" s="2">
        <v>44050.0</v>
      </c>
      <c r="AP1061" s="2">
        <v>44050.4647916667</v>
      </c>
      <c r="AQ1061" s="1" t="s">
        <v>80</v>
      </c>
      <c r="AR1061" s="1" t="s">
        <v>1607</v>
      </c>
      <c r="AS1061" s="1"/>
      <c r="AT1061" s="2">
        <v>44269.931099537</v>
      </c>
    </row>
    <row r="1062" ht="13.5" customHeight="1">
      <c r="A1062" s="1"/>
      <c r="B1062" s="1" t="s">
        <v>46</v>
      </c>
      <c r="C1062" s="1" t="s">
        <v>47</v>
      </c>
      <c r="D1062" s="1"/>
      <c r="E1062" s="1" t="s">
        <v>4497</v>
      </c>
      <c r="F1062" s="1"/>
      <c r="G1062" s="1" t="s">
        <v>49</v>
      </c>
      <c r="H1062" s="1" t="s">
        <v>93</v>
      </c>
      <c r="I1062" s="1">
        <v>205000.0</v>
      </c>
      <c r="J1062" s="1"/>
      <c r="K1062" s="1"/>
      <c r="L1062" s="1"/>
      <c r="M1062" s="1" t="s">
        <v>4498</v>
      </c>
      <c r="N1062" s="1" t="s">
        <v>142</v>
      </c>
      <c r="O1062" s="1" t="s">
        <v>143</v>
      </c>
      <c r="P1062" s="2">
        <v>43794.8800115741</v>
      </c>
      <c r="Q1062" s="1" t="s">
        <v>74</v>
      </c>
      <c r="R1062" s="1"/>
      <c r="S1062" s="1"/>
      <c r="T1062" s="1">
        <v>1500347.0</v>
      </c>
      <c r="U1062" s="1" t="s">
        <v>4499</v>
      </c>
      <c r="V1062" s="1" t="s">
        <v>193</v>
      </c>
      <c r="W1062" s="1" t="s">
        <v>177</v>
      </c>
      <c r="X1062" s="1"/>
      <c r="Y1062" s="1"/>
      <c r="Z1062" s="1" t="s">
        <v>147</v>
      </c>
      <c r="AA1062" s="1" t="s">
        <v>4500</v>
      </c>
      <c r="AB1062" s="1" t="str">
        <f>"***765385**"</f>
        <v>***765385**</v>
      </c>
      <c r="AC1062" s="1"/>
      <c r="AD1062" s="1" t="s">
        <v>116</v>
      </c>
      <c r="AE1062" s="1"/>
      <c r="AF1062" s="1">
        <v>-50.238335</v>
      </c>
      <c r="AG1062" s="1">
        <v>-6.664444</v>
      </c>
      <c r="AH1062" s="1" t="s">
        <v>4501</v>
      </c>
      <c r="AI1062" s="1"/>
      <c r="AJ1062" s="1" t="s">
        <v>172</v>
      </c>
      <c r="AK1062" s="1"/>
      <c r="AL1062" s="1"/>
      <c r="AM1062" s="1" t="s">
        <v>65</v>
      </c>
      <c r="AN1062" s="1" t="s">
        <v>2164</v>
      </c>
      <c r="AO1062" s="1"/>
      <c r="AP1062" s="2">
        <v>43794.8870949074</v>
      </c>
      <c r="AQ1062" s="1"/>
      <c r="AR1062" s="1" t="s">
        <v>644</v>
      </c>
      <c r="AS1062" s="1" t="s">
        <v>4243</v>
      </c>
      <c r="AT1062" s="2">
        <v>44269.931099537</v>
      </c>
    </row>
    <row r="1063" ht="13.5" customHeight="1">
      <c r="A1063" s="1"/>
      <c r="B1063" s="1" t="s">
        <v>46</v>
      </c>
      <c r="C1063" s="1" t="s">
        <v>47</v>
      </c>
      <c r="D1063" s="1"/>
      <c r="E1063" s="1" t="s">
        <v>4502</v>
      </c>
      <c r="F1063" s="1"/>
      <c r="G1063" s="1" t="s">
        <v>49</v>
      </c>
      <c r="H1063" s="1" t="s">
        <v>93</v>
      </c>
      <c r="I1063" s="1">
        <v>200000.0</v>
      </c>
      <c r="J1063" s="1"/>
      <c r="K1063" s="1"/>
      <c r="L1063" s="1"/>
      <c r="M1063" s="1" t="s">
        <v>4503</v>
      </c>
      <c r="N1063" s="1" t="s">
        <v>142</v>
      </c>
      <c r="O1063" s="1" t="s">
        <v>143</v>
      </c>
      <c r="P1063" s="2">
        <v>43794.8437615741</v>
      </c>
      <c r="Q1063" s="1" t="s">
        <v>74</v>
      </c>
      <c r="R1063" s="1"/>
      <c r="S1063" s="1"/>
      <c r="T1063" s="1">
        <v>1500347.0</v>
      </c>
      <c r="U1063" s="1" t="s">
        <v>4499</v>
      </c>
      <c r="V1063" s="1" t="s">
        <v>193</v>
      </c>
      <c r="W1063" s="1" t="s">
        <v>177</v>
      </c>
      <c r="X1063" s="1"/>
      <c r="Y1063" s="1"/>
      <c r="Z1063" s="1" t="s">
        <v>147</v>
      </c>
      <c r="AA1063" s="1" t="s">
        <v>4504</v>
      </c>
      <c r="AB1063" s="1" t="str">
        <f>"***074945**"</f>
        <v>***074945**</v>
      </c>
      <c r="AC1063" s="1"/>
      <c r="AD1063" s="1" t="s">
        <v>116</v>
      </c>
      <c r="AE1063" s="1"/>
      <c r="AF1063" s="1">
        <v>-50.227779</v>
      </c>
      <c r="AG1063" s="1">
        <v>-6.664722</v>
      </c>
      <c r="AH1063" s="1" t="s">
        <v>4505</v>
      </c>
      <c r="AI1063" s="1"/>
      <c r="AJ1063" s="1" t="s">
        <v>172</v>
      </c>
      <c r="AK1063" s="1"/>
      <c r="AL1063" s="1"/>
      <c r="AM1063" s="1" t="s">
        <v>65</v>
      </c>
      <c r="AN1063" s="1" t="s">
        <v>2164</v>
      </c>
      <c r="AO1063" s="1"/>
      <c r="AP1063" s="2">
        <v>43794.866099537</v>
      </c>
      <c r="AQ1063" s="1"/>
      <c r="AR1063" s="1" t="s">
        <v>644</v>
      </c>
      <c r="AS1063" s="1" t="s">
        <v>4243</v>
      </c>
      <c r="AT1063" s="2">
        <v>44269.931099537</v>
      </c>
    </row>
    <row r="1064" ht="13.5" customHeight="1">
      <c r="A1064" s="1"/>
      <c r="B1064" s="1" t="s">
        <v>46</v>
      </c>
      <c r="C1064" s="1" t="s">
        <v>47</v>
      </c>
      <c r="D1064" s="1"/>
      <c r="E1064" s="1" t="s">
        <v>4506</v>
      </c>
      <c r="F1064" s="1"/>
      <c r="G1064" s="1" t="s">
        <v>49</v>
      </c>
      <c r="H1064" s="1" t="s">
        <v>93</v>
      </c>
      <c r="I1064" s="1">
        <v>250000.0</v>
      </c>
      <c r="J1064" s="1"/>
      <c r="K1064" s="1"/>
      <c r="L1064" s="1"/>
      <c r="M1064" s="1" t="s">
        <v>4507</v>
      </c>
      <c r="N1064" s="1" t="s">
        <v>142</v>
      </c>
      <c r="O1064" s="1" t="s">
        <v>143</v>
      </c>
      <c r="P1064" s="2">
        <v>43794.8223726852</v>
      </c>
      <c r="Q1064" s="1" t="s">
        <v>74</v>
      </c>
      <c r="R1064" s="1"/>
      <c r="S1064" s="1"/>
      <c r="T1064" s="1">
        <v>1505650.0</v>
      </c>
      <c r="U1064" s="1" t="s">
        <v>4508</v>
      </c>
      <c r="V1064" s="1" t="s">
        <v>193</v>
      </c>
      <c r="W1064" s="1" t="s">
        <v>177</v>
      </c>
      <c r="X1064" s="1"/>
      <c r="Y1064" s="1"/>
      <c r="Z1064" s="1" t="s">
        <v>147</v>
      </c>
      <c r="AA1064" s="1" t="s">
        <v>4509</v>
      </c>
      <c r="AB1064" s="1" t="str">
        <f>"***323242**"</f>
        <v>***323242**</v>
      </c>
      <c r="AC1064" s="1"/>
      <c r="AD1064" s="1" t="s">
        <v>116</v>
      </c>
      <c r="AE1064" s="1"/>
      <c r="AF1064" s="1">
        <v>-54.644447</v>
      </c>
      <c r="AG1064" s="1">
        <v>-3.881667</v>
      </c>
      <c r="AH1064" s="1" t="s">
        <v>4510</v>
      </c>
      <c r="AI1064" s="1"/>
      <c r="AJ1064" s="1" t="s">
        <v>172</v>
      </c>
      <c r="AK1064" s="1"/>
      <c r="AL1064" s="1"/>
      <c r="AM1064" s="1" t="s">
        <v>65</v>
      </c>
      <c r="AN1064" s="1" t="s">
        <v>2164</v>
      </c>
      <c r="AO1064" s="1"/>
      <c r="AP1064" s="2">
        <v>43794.8309722222</v>
      </c>
      <c r="AQ1064" s="1"/>
      <c r="AR1064" s="1" t="s">
        <v>644</v>
      </c>
      <c r="AS1064" s="1" t="s">
        <v>4243</v>
      </c>
      <c r="AT1064" s="2">
        <v>44269.931099537</v>
      </c>
    </row>
    <row r="1065" ht="13.5" customHeight="1">
      <c r="A1065" s="1">
        <v>2036925.0</v>
      </c>
      <c r="B1065" s="1" t="s">
        <v>67</v>
      </c>
      <c r="C1065" s="1" t="s">
        <v>68</v>
      </c>
      <c r="D1065" s="1" t="s">
        <v>46</v>
      </c>
      <c r="E1065" s="1" t="s">
        <v>4511</v>
      </c>
      <c r="F1065" s="1"/>
      <c r="G1065" s="1" t="s">
        <v>70</v>
      </c>
      <c r="H1065" s="1" t="s">
        <v>93</v>
      </c>
      <c r="I1065" s="1">
        <v>115000.0</v>
      </c>
      <c r="J1065" s="1"/>
      <c r="K1065" s="1"/>
      <c r="L1065" s="1" t="s">
        <v>172</v>
      </c>
      <c r="M1065" s="1" t="s">
        <v>4512</v>
      </c>
      <c r="N1065" s="1" t="s">
        <v>142</v>
      </c>
      <c r="O1065" s="1" t="s">
        <v>143</v>
      </c>
      <c r="P1065" s="2">
        <v>43794.7916666667</v>
      </c>
      <c r="Q1065" s="1" t="s">
        <v>74</v>
      </c>
      <c r="R1065" s="1"/>
      <c r="S1065" s="1"/>
      <c r="T1065" s="1">
        <v>1507300.0</v>
      </c>
      <c r="U1065" s="1" t="s">
        <v>3161</v>
      </c>
      <c r="V1065" s="1" t="s">
        <v>193</v>
      </c>
      <c r="W1065" s="1" t="s">
        <v>177</v>
      </c>
      <c r="X1065" s="1"/>
      <c r="Y1065" s="1" t="str">
        <f>"02001000865202043"</f>
        <v>02001000865202043</v>
      </c>
      <c r="Z1065" s="1" t="s">
        <v>147</v>
      </c>
      <c r="AA1065" s="1" t="s">
        <v>4513</v>
      </c>
      <c r="AB1065" s="1" t="str">
        <f>"***144861**"</f>
        <v>***144861**</v>
      </c>
      <c r="AC1065" s="1"/>
      <c r="AD1065" s="1"/>
      <c r="AE1065" s="1"/>
      <c r="AF1065" s="1">
        <v>-51.018333</v>
      </c>
      <c r="AG1065" s="1">
        <v>-5.590556</v>
      </c>
      <c r="AH1065" s="1" t="s">
        <v>4514</v>
      </c>
      <c r="AI1065" s="1"/>
      <c r="AJ1065" s="1" t="s">
        <v>172</v>
      </c>
      <c r="AK1065" s="1"/>
      <c r="AL1065" s="1" t="s">
        <v>79</v>
      </c>
      <c r="AM1065" s="1" t="s">
        <v>65</v>
      </c>
      <c r="AN1065" s="1" t="s">
        <v>2164</v>
      </c>
      <c r="AO1065" s="2">
        <v>43979.0</v>
      </c>
      <c r="AP1065" s="2">
        <v>43979.4435532407</v>
      </c>
      <c r="AQ1065" s="1" t="s">
        <v>80</v>
      </c>
      <c r="AR1065" s="1" t="s">
        <v>650</v>
      </c>
      <c r="AS1065" s="1" t="s">
        <v>4243</v>
      </c>
      <c r="AT1065" s="2">
        <v>44269.931099537</v>
      </c>
    </row>
    <row r="1066" ht="13.5" customHeight="1">
      <c r="A1066" s="1">
        <v>2038975.0</v>
      </c>
      <c r="B1066" s="1" t="s">
        <v>67</v>
      </c>
      <c r="C1066" s="1" t="s">
        <v>68</v>
      </c>
      <c r="D1066" s="1" t="s">
        <v>46</v>
      </c>
      <c r="E1066" s="1" t="s">
        <v>4515</v>
      </c>
      <c r="F1066" s="1"/>
      <c r="G1066" s="1" t="s">
        <v>70</v>
      </c>
      <c r="H1066" s="1" t="s">
        <v>93</v>
      </c>
      <c r="I1066" s="1">
        <v>45000.0</v>
      </c>
      <c r="J1066" s="1"/>
      <c r="K1066" s="1"/>
      <c r="L1066" s="1" t="s">
        <v>1172</v>
      </c>
      <c r="M1066" s="1" t="s">
        <v>4516</v>
      </c>
      <c r="N1066" s="1" t="s">
        <v>142</v>
      </c>
      <c r="O1066" s="1" t="s">
        <v>143</v>
      </c>
      <c r="P1066" s="2">
        <v>43794.7916666667</v>
      </c>
      <c r="Q1066" s="1" t="s">
        <v>373</v>
      </c>
      <c r="R1066" s="3">
        <v>43794.0</v>
      </c>
      <c r="S1066" s="1"/>
      <c r="T1066" s="1">
        <v>1505486.0</v>
      </c>
      <c r="U1066" s="1" t="s">
        <v>3446</v>
      </c>
      <c r="V1066" s="1" t="s">
        <v>193</v>
      </c>
      <c r="W1066" s="1" t="s">
        <v>177</v>
      </c>
      <c r="X1066" s="1"/>
      <c r="Y1066" s="1"/>
      <c r="Z1066" s="1" t="s">
        <v>147</v>
      </c>
      <c r="AA1066" s="1" t="s">
        <v>4517</v>
      </c>
      <c r="AB1066" s="1" t="str">
        <f t="shared" ref="AB1066:AB1067" si="57">"***700612**"</f>
        <v>***700612**</v>
      </c>
      <c r="AC1066" s="1"/>
      <c r="AD1066" s="1"/>
      <c r="AE1066" s="1"/>
      <c r="AF1066" s="1">
        <v>-50.658886</v>
      </c>
      <c r="AG1066" s="1">
        <v>-3.805</v>
      </c>
      <c r="AH1066" s="1" t="s">
        <v>4518</v>
      </c>
      <c r="AI1066" s="1"/>
      <c r="AJ1066" s="1" t="s">
        <v>1172</v>
      </c>
      <c r="AK1066" s="1"/>
      <c r="AL1066" s="1" t="s">
        <v>79</v>
      </c>
      <c r="AM1066" s="1" t="s">
        <v>65</v>
      </c>
      <c r="AN1066" s="1" t="s">
        <v>3087</v>
      </c>
      <c r="AO1066" s="2">
        <v>44050.0</v>
      </c>
      <c r="AP1066" s="2">
        <v>44050.4653587963</v>
      </c>
      <c r="AQ1066" s="1" t="s">
        <v>80</v>
      </c>
      <c r="AR1066" s="1" t="s">
        <v>392</v>
      </c>
      <c r="AS1066" s="1"/>
      <c r="AT1066" s="2">
        <v>44269.931099537</v>
      </c>
    </row>
    <row r="1067" ht="13.5" customHeight="1">
      <c r="A1067" s="1">
        <v>2038976.0</v>
      </c>
      <c r="B1067" s="1" t="s">
        <v>67</v>
      </c>
      <c r="C1067" s="1" t="s">
        <v>68</v>
      </c>
      <c r="D1067" s="1" t="s">
        <v>46</v>
      </c>
      <c r="E1067" s="1" t="s">
        <v>4519</v>
      </c>
      <c r="F1067" s="1"/>
      <c r="G1067" s="1" t="s">
        <v>70</v>
      </c>
      <c r="H1067" s="1" t="s">
        <v>93</v>
      </c>
      <c r="I1067" s="1">
        <v>20000.0</v>
      </c>
      <c r="J1067" s="1"/>
      <c r="K1067" s="1"/>
      <c r="L1067" s="1" t="s">
        <v>1172</v>
      </c>
      <c r="M1067" s="1" t="s">
        <v>4520</v>
      </c>
      <c r="N1067" s="1" t="s">
        <v>142</v>
      </c>
      <c r="O1067" s="1" t="s">
        <v>143</v>
      </c>
      <c r="P1067" s="2">
        <v>43794.7916666667</v>
      </c>
      <c r="Q1067" s="1" t="s">
        <v>373</v>
      </c>
      <c r="R1067" s="3">
        <v>43794.0</v>
      </c>
      <c r="S1067" s="1"/>
      <c r="T1067" s="1">
        <v>1505486.0</v>
      </c>
      <c r="U1067" s="1" t="s">
        <v>3446</v>
      </c>
      <c r="V1067" s="1" t="s">
        <v>193</v>
      </c>
      <c r="W1067" s="1" t="s">
        <v>177</v>
      </c>
      <c r="X1067" s="1"/>
      <c r="Y1067" s="1"/>
      <c r="Z1067" s="1" t="s">
        <v>147</v>
      </c>
      <c r="AA1067" s="1" t="s">
        <v>4517</v>
      </c>
      <c r="AB1067" s="1" t="str">
        <f t="shared" si="57"/>
        <v>***700612**</v>
      </c>
      <c r="AC1067" s="1"/>
      <c r="AD1067" s="1"/>
      <c r="AE1067" s="1"/>
      <c r="AF1067" s="1">
        <v>-50.658886</v>
      </c>
      <c r="AG1067" s="1">
        <v>-3.805</v>
      </c>
      <c r="AH1067" s="1" t="s">
        <v>4521</v>
      </c>
      <c r="AI1067" s="1"/>
      <c r="AJ1067" s="1" t="s">
        <v>1172</v>
      </c>
      <c r="AK1067" s="1"/>
      <c r="AL1067" s="1" t="s">
        <v>79</v>
      </c>
      <c r="AM1067" s="1" t="s">
        <v>65</v>
      </c>
      <c r="AN1067" s="1" t="s">
        <v>3087</v>
      </c>
      <c r="AO1067" s="2">
        <v>44050.0</v>
      </c>
      <c r="AP1067" s="2">
        <v>44050.4655324074</v>
      </c>
      <c r="AQ1067" s="1" t="s">
        <v>80</v>
      </c>
      <c r="AR1067" s="1" t="s">
        <v>1607</v>
      </c>
      <c r="AS1067" s="1"/>
      <c r="AT1067" s="2">
        <v>44269.931099537</v>
      </c>
    </row>
    <row r="1068" ht="13.5" customHeight="1">
      <c r="A1068" s="1">
        <v>2034846.0</v>
      </c>
      <c r="B1068" s="1" t="s">
        <v>67</v>
      </c>
      <c r="C1068" s="1" t="s">
        <v>68</v>
      </c>
      <c r="D1068" s="1" t="s">
        <v>46</v>
      </c>
      <c r="E1068" s="1" t="s">
        <v>4522</v>
      </c>
      <c r="F1068" s="1"/>
      <c r="G1068" s="1" t="s">
        <v>70</v>
      </c>
      <c r="H1068" s="1" t="s">
        <v>93</v>
      </c>
      <c r="I1068" s="1">
        <v>405000.0</v>
      </c>
      <c r="J1068" s="1"/>
      <c r="K1068" s="1"/>
      <c r="L1068" s="1" t="s">
        <v>196</v>
      </c>
      <c r="M1068" s="1" t="s">
        <v>4523</v>
      </c>
      <c r="N1068" s="1" t="s">
        <v>142</v>
      </c>
      <c r="O1068" s="1" t="s">
        <v>143</v>
      </c>
      <c r="P1068" s="2">
        <v>43794.75</v>
      </c>
      <c r="Q1068" s="1" t="s">
        <v>74</v>
      </c>
      <c r="R1068" s="3">
        <v>43794.0</v>
      </c>
      <c r="S1068" s="1"/>
      <c r="T1068" s="1">
        <v>1505809.0</v>
      </c>
      <c r="U1068" s="1" t="s">
        <v>3084</v>
      </c>
      <c r="V1068" s="1" t="s">
        <v>193</v>
      </c>
      <c r="W1068" s="1" t="s">
        <v>177</v>
      </c>
      <c r="X1068" s="1"/>
      <c r="Y1068" s="1" t="str">
        <f>"02018010768201946"</f>
        <v>02018010768201946</v>
      </c>
      <c r="Z1068" s="1" t="s">
        <v>147</v>
      </c>
      <c r="AA1068" s="1" t="s">
        <v>4524</v>
      </c>
      <c r="AB1068" s="1" t="str">
        <f>"***437482**"</f>
        <v>***437482**</v>
      </c>
      <c r="AC1068" s="1"/>
      <c r="AD1068" s="1"/>
      <c r="AE1068" s="1"/>
      <c r="AF1068" s="1">
        <v>-50.659725</v>
      </c>
      <c r="AG1068" s="1">
        <v>-3.337222</v>
      </c>
      <c r="AH1068" s="1" t="s">
        <v>4525</v>
      </c>
      <c r="AI1068" s="1"/>
      <c r="AJ1068" s="1" t="s">
        <v>196</v>
      </c>
      <c r="AK1068" s="1"/>
      <c r="AL1068" s="1" t="s">
        <v>79</v>
      </c>
      <c r="AM1068" s="1" t="s">
        <v>65</v>
      </c>
      <c r="AN1068" s="1" t="s">
        <v>3087</v>
      </c>
      <c r="AO1068" s="2">
        <v>43892.0</v>
      </c>
      <c r="AP1068" s="2">
        <v>43892.463125</v>
      </c>
      <c r="AQ1068" s="1" t="s">
        <v>80</v>
      </c>
      <c r="AR1068" s="1" t="s">
        <v>650</v>
      </c>
      <c r="AS1068" s="1"/>
      <c r="AT1068" s="2">
        <v>44269.931099537</v>
      </c>
    </row>
    <row r="1069" ht="13.5" customHeight="1">
      <c r="A1069" s="1">
        <v>2038977.0</v>
      </c>
      <c r="B1069" s="1" t="s">
        <v>67</v>
      </c>
      <c r="C1069" s="1" t="s">
        <v>68</v>
      </c>
      <c r="D1069" s="1" t="s">
        <v>46</v>
      </c>
      <c r="E1069" s="1" t="s">
        <v>4526</v>
      </c>
      <c r="F1069" s="1"/>
      <c r="G1069" s="1" t="s">
        <v>70</v>
      </c>
      <c r="H1069" s="1" t="s">
        <v>93</v>
      </c>
      <c r="I1069" s="1">
        <v>25000.0</v>
      </c>
      <c r="J1069" s="1"/>
      <c r="K1069" s="1"/>
      <c r="L1069" s="1" t="s">
        <v>1172</v>
      </c>
      <c r="M1069" s="1" t="s">
        <v>4527</v>
      </c>
      <c r="N1069" s="1" t="s">
        <v>142</v>
      </c>
      <c r="O1069" s="1" t="s">
        <v>143</v>
      </c>
      <c r="P1069" s="2">
        <v>43794.75</v>
      </c>
      <c r="Q1069" s="1" t="s">
        <v>373</v>
      </c>
      <c r="R1069" s="3">
        <v>43794.0</v>
      </c>
      <c r="S1069" s="1"/>
      <c r="T1069" s="1">
        <v>1505486.0</v>
      </c>
      <c r="U1069" s="1" t="s">
        <v>3446</v>
      </c>
      <c r="V1069" s="1" t="s">
        <v>193</v>
      </c>
      <c r="W1069" s="1" t="s">
        <v>177</v>
      </c>
      <c r="X1069" s="1"/>
      <c r="Y1069" s="1"/>
      <c r="Z1069" s="1" t="s">
        <v>147</v>
      </c>
      <c r="AA1069" s="1" t="s">
        <v>4517</v>
      </c>
      <c r="AB1069" s="1" t="str">
        <f>"***700612**"</f>
        <v>***700612**</v>
      </c>
      <c r="AC1069" s="1"/>
      <c r="AD1069" s="1"/>
      <c r="AE1069" s="1"/>
      <c r="AF1069" s="1">
        <v>-50.685276</v>
      </c>
      <c r="AG1069" s="1">
        <v>-3.793056</v>
      </c>
      <c r="AH1069" s="1" t="s">
        <v>4528</v>
      </c>
      <c r="AI1069" s="1"/>
      <c r="AJ1069" s="1" t="s">
        <v>1172</v>
      </c>
      <c r="AK1069" s="1"/>
      <c r="AL1069" s="1" t="s">
        <v>79</v>
      </c>
      <c r="AM1069" s="1" t="s">
        <v>65</v>
      </c>
      <c r="AN1069" s="1" t="s">
        <v>3087</v>
      </c>
      <c r="AO1069" s="2">
        <v>44050.0</v>
      </c>
      <c r="AP1069" s="2">
        <v>44050.4657523148</v>
      </c>
      <c r="AQ1069" s="1" t="s">
        <v>80</v>
      </c>
      <c r="AR1069" s="1" t="s">
        <v>421</v>
      </c>
      <c r="AS1069" s="1"/>
      <c r="AT1069" s="2">
        <v>44269.931099537</v>
      </c>
    </row>
    <row r="1070" ht="13.5" customHeight="1">
      <c r="A1070" s="1"/>
      <c r="B1070" s="1" t="s">
        <v>46</v>
      </c>
      <c r="C1070" s="1" t="s">
        <v>47</v>
      </c>
      <c r="D1070" s="1"/>
      <c r="E1070" s="1" t="s">
        <v>4529</v>
      </c>
      <c r="F1070" s="1"/>
      <c r="G1070" s="1" t="s">
        <v>49</v>
      </c>
      <c r="H1070" s="1" t="s">
        <v>93</v>
      </c>
      <c r="I1070" s="1">
        <v>185000.0</v>
      </c>
      <c r="J1070" s="1"/>
      <c r="K1070" s="1"/>
      <c r="L1070" s="1"/>
      <c r="M1070" s="1" t="s">
        <v>4530</v>
      </c>
      <c r="N1070" s="1" t="s">
        <v>142</v>
      </c>
      <c r="O1070" s="1" t="s">
        <v>143</v>
      </c>
      <c r="P1070" s="2">
        <v>43794.7424421296</v>
      </c>
      <c r="Q1070" s="1" t="s">
        <v>74</v>
      </c>
      <c r="R1070" s="1"/>
      <c r="S1070" s="1"/>
      <c r="T1070" s="1">
        <v>1507300.0</v>
      </c>
      <c r="U1070" s="1" t="s">
        <v>3161</v>
      </c>
      <c r="V1070" s="1" t="s">
        <v>193</v>
      </c>
      <c r="W1070" s="1" t="s">
        <v>177</v>
      </c>
      <c r="X1070" s="1"/>
      <c r="Y1070" s="1"/>
      <c r="Z1070" s="1" t="s">
        <v>147</v>
      </c>
      <c r="AA1070" s="1" t="s">
        <v>4531</v>
      </c>
      <c r="AB1070" s="1" t="str">
        <f>"***368016**"</f>
        <v>***368016**</v>
      </c>
      <c r="AC1070" s="1"/>
      <c r="AD1070" s="1" t="s">
        <v>116</v>
      </c>
      <c r="AE1070" s="1"/>
      <c r="AF1070" s="1">
        <v>-52.539444</v>
      </c>
      <c r="AG1070" s="1">
        <v>-5.870278</v>
      </c>
      <c r="AH1070" s="1" t="s">
        <v>3118</v>
      </c>
      <c r="AI1070" s="1"/>
      <c r="AJ1070" s="1" t="s">
        <v>172</v>
      </c>
      <c r="AK1070" s="1"/>
      <c r="AL1070" s="1"/>
      <c r="AM1070" s="1" t="s">
        <v>65</v>
      </c>
      <c r="AN1070" s="1" t="s">
        <v>2164</v>
      </c>
      <c r="AO1070" s="1"/>
      <c r="AP1070" s="2">
        <v>43794.7509259259</v>
      </c>
      <c r="AQ1070" s="1"/>
      <c r="AR1070" s="1" t="s">
        <v>644</v>
      </c>
      <c r="AS1070" s="1" t="s">
        <v>4532</v>
      </c>
      <c r="AT1070" s="2">
        <v>44269.931099537</v>
      </c>
    </row>
    <row r="1071" ht="13.5" customHeight="1">
      <c r="A1071" s="1">
        <v>2034832.0</v>
      </c>
      <c r="B1071" s="1" t="s">
        <v>67</v>
      </c>
      <c r="C1071" s="1" t="s">
        <v>68</v>
      </c>
      <c r="D1071" s="1" t="s">
        <v>46</v>
      </c>
      <c r="E1071" s="1" t="s">
        <v>4533</v>
      </c>
      <c r="F1071" s="1"/>
      <c r="G1071" s="1" t="s">
        <v>70</v>
      </c>
      <c r="H1071" s="1" t="s">
        <v>93</v>
      </c>
      <c r="I1071" s="1">
        <v>525000.0</v>
      </c>
      <c r="J1071" s="1"/>
      <c r="K1071" s="1"/>
      <c r="L1071" s="1" t="s">
        <v>196</v>
      </c>
      <c r="M1071" s="1" t="s">
        <v>4534</v>
      </c>
      <c r="N1071" s="1" t="s">
        <v>142</v>
      </c>
      <c r="O1071" s="1" t="s">
        <v>143</v>
      </c>
      <c r="P1071" s="2">
        <v>43794.7083333333</v>
      </c>
      <c r="Q1071" s="1" t="s">
        <v>74</v>
      </c>
      <c r="R1071" s="3">
        <v>43794.0</v>
      </c>
      <c r="S1071" s="1"/>
      <c r="T1071" s="1">
        <v>1505809.0</v>
      </c>
      <c r="U1071" s="1" t="s">
        <v>3084</v>
      </c>
      <c r="V1071" s="1" t="s">
        <v>193</v>
      </c>
      <c r="W1071" s="1" t="s">
        <v>177</v>
      </c>
      <c r="X1071" s="1"/>
      <c r="Y1071" s="1"/>
      <c r="Z1071" s="1" t="s">
        <v>147</v>
      </c>
      <c r="AA1071" s="1" t="s">
        <v>4524</v>
      </c>
      <c r="AB1071" s="1" t="str">
        <f t="shared" ref="AB1071:AB1073" si="58">"***437482**"</f>
        <v>***437482**</v>
      </c>
      <c r="AC1071" s="1"/>
      <c r="AD1071" s="1"/>
      <c r="AE1071" s="1"/>
      <c r="AF1071" s="1">
        <v>-50.671112</v>
      </c>
      <c r="AG1071" s="1">
        <v>-3.334444</v>
      </c>
      <c r="AH1071" s="1" t="s">
        <v>4525</v>
      </c>
      <c r="AI1071" s="1"/>
      <c r="AJ1071" s="1" t="s">
        <v>196</v>
      </c>
      <c r="AK1071" s="1"/>
      <c r="AL1071" s="1" t="s">
        <v>79</v>
      </c>
      <c r="AM1071" s="1" t="s">
        <v>65</v>
      </c>
      <c r="AN1071" s="1" t="s">
        <v>3087</v>
      </c>
      <c r="AO1071" s="2">
        <v>43892.0</v>
      </c>
      <c r="AP1071" s="2">
        <v>43892.460162037</v>
      </c>
      <c r="AQ1071" s="1" t="s">
        <v>80</v>
      </c>
      <c r="AR1071" s="1" t="s">
        <v>392</v>
      </c>
      <c r="AS1071" s="1"/>
      <c r="AT1071" s="2">
        <v>44269.931099537</v>
      </c>
    </row>
    <row r="1072" ht="13.5" customHeight="1">
      <c r="A1072" s="1">
        <v>2034833.0</v>
      </c>
      <c r="B1072" s="1" t="s">
        <v>67</v>
      </c>
      <c r="C1072" s="1" t="s">
        <v>68</v>
      </c>
      <c r="D1072" s="1" t="s">
        <v>46</v>
      </c>
      <c r="E1072" s="1" t="s">
        <v>4535</v>
      </c>
      <c r="F1072" s="1"/>
      <c r="G1072" s="1" t="s">
        <v>70</v>
      </c>
      <c r="H1072" s="1" t="s">
        <v>50</v>
      </c>
      <c r="I1072" s="1">
        <v>20000.0</v>
      </c>
      <c r="J1072" s="1"/>
      <c r="K1072" s="1"/>
      <c r="L1072" s="1" t="s">
        <v>196</v>
      </c>
      <c r="M1072" s="1" t="s">
        <v>4536</v>
      </c>
      <c r="N1072" s="1" t="s">
        <v>142</v>
      </c>
      <c r="O1072" s="1" t="s">
        <v>143</v>
      </c>
      <c r="P1072" s="2">
        <v>43794.7083333333</v>
      </c>
      <c r="Q1072" s="1" t="s">
        <v>74</v>
      </c>
      <c r="R1072" s="3">
        <v>43794.0</v>
      </c>
      <c r="S1072" s="1"/>
      <c r="T1072" s="1">
        <v>1505809.0</v>
      </c>
      <c r="U1072" s="1" t="s">
        <v>3084</v>
      </c>
      <c r="V1072" s="1" t="s">
        <v>193</v>
      </c>
      <c r="W1072" s="1" t="s">
        <v>177</v>
      </c>
      <c r="X1072" s="1"/>
      <c r="Y1072" s="1"/>
      <c r="Z1072" s="1" t="s">
        <v>147</v>
      </c>
      <c r="AA1072" s="1" t="s">
        <v>4524</v>
      </c>
      <c r="AB1072" s="1" t="str">
        <f t="shared" si="58"/>
        <v>***437482**</v>
      </c>
      <c r="AC1072" s="1"/>
      <c r="AD1072" s="1"/>
      <c r="AE1072" s="1"/>
      <c r="AF1072" s="1">
        <v>-50.656113</v>
      </c>
      <c r="AG1072" s="1">
        <v>-3.337778</v>
      </c>
      <c r="AH1072" s="1" t="s">
        <v>4537</v>
      </c>
      <c r="AI1072" s="1"/>
      <c r="AJ1072" s="1" t="s">
        <v>196</v>
      </c>
      <c r="AK1072" s="1"/>
      <c r="AL1072" s="1" t="s">
        <v>79</v>
      </c>
      <c r="AM1072" s="1" t="s">
        <v>65</v>
      </c>
      <c r="AN1072" s="1" t="s">
        <v>3087</v>
      </c>
      <c r="AO1072" s="2">
        <v>43892.0</v>
      </c>
      <c r="AP1072" s="2">
        <v>43892.4604513889</v>
      </c>
      <c r="AQ1072" s="1" t="s">
        <v>80</v>
      </c>
      <c r="AR1072" s="1" t="s">
        <v>1607</v>
      </c>
      <c r="AS1072" s="1"/>
      <c r="AT1072" s="2">
        <v>44269.931099537</v>
      </c>
    </row>
    <row r="1073" ht="13.5" customHeight="1">
      <c r="A1073" s="1">
        <v>2034845.0</v>
      </c>
      <c r="B1073" s="1" t="s">
        <v>67</v>
      </c>
      <c r="C1073" s="1" t="s">
        <v>68</v>
      </c>
      <c r="D1073" s="1" t="s">
        <v>46</v>
      </c>
      <c r="E1073" s="1" t="s">
        <v>4538</v>
      </c>
      <c r="F1073" s="1"/>
      <c r="G1073" s="1" t="s">
        <v>70</v>
      </c>
      <c r="H1073" s="1" t="s">
        <v>50</v>
      </c>
      <c r="I1073" s="1">
        <v>61000.0</v>
      </c>
      <c r="J1073" s="1"/>
      <c r="K1073" s="1"/>
      <c r="L1073" s="1" t="s">
        <v>196</v>
      </c>
      <c r="M1073" s="1" t="s">
        <v>4539</v>
      </c>
      <c r="N1073" s="1" t="s">
        <v>142</v>
      </c>
      <c r="O1073" s="1" t="s">
        <v>143</v>
      </c>
      <c r="P1073" s="2">
        <v>43794.7083333333</v>
      </c>
      <c r="Q1073" s="1" t="s">
        <v>74</v>
      </c>
      <c r="R1073" s="3">
        <v>43794.0</v>
      </c>
      <c r="S1073" s="1"/>
      <c r="T1073" s="1">
        <v>1505809.0</v>
      </c>
      <c r="U1073" s="1" t="s">
        <v>3084</v>
      </c>
      <c r="V1073" s="1" t="s">
        <v>193</v>
      </c>
      <c r="W1073" s="1" t="s">
        <v>177</v>
      </c>
      <c r="X1073" s="1"/>
      <c r="Y1073" s="1"/>
      <c r="Z1073" s="1" t="s">
        <v>147</v>
      </c>
      <c r="AA1073" s="1" t="s">
        <v>4524</v>
      </c>
      <c r="AB1073" s="1" t="str">
        <f t="shared" si="58"/>
        <v>***437482**</v>
      </c>
      <c r="AC1073" s="1"/>
      <c r="AD1073" s="1"/>
      <c r="AE1073" s="1"/>
      <c r="AF1073" s="1">
        <v>-50.671112</v>
      </c>
      <c r="AG1073" s="1">
        <v>-3.334444</v>
      </c>
      <c r="AH1073" s="1" t="s">
        <v>4525</v>
      </c>
      <c r="AI1073" s="1"/>
      <c r="AJ1073" s="1" t="s">
        <v>196</v>
      </c>
      <c r="AK1073" s="1"/>
      <c r="AL1073" s="1" t="s">
        <v>79</v>
      </c>
      <c r="AM1073" s="1" t="s">
        <v>65</v>
      </c>
      <c r="AN1073" s="1" t="s">
        <v>3087</v>
      </c>
      <c r="AO1073" s="2">
        <v>43892.0</v>
      </c>
      <c r="AP1073" s="2">
        <v>43892.4630092593</v>
      </c>
      <c r="AQ1073" s="1" t="s">
        <v>80</v>
      </c>
      <c r="AR1073" s="1" t="s">
        <v>1607</v>
      </c>
      <c r="AS1073" s="1"/>
      <c r="AT1073" s="2">
        <v>44269.931099537</v>
      </c>
    </row>
    <row r="1074" ht="13.5" customHeight="1">
      <c r="A1074" s="1">
        <v>2035056.0</v>
      </c>
      <c r="B1074" s="1" t="s">
        <v>67</v>
      </c>
      <c r="C1074" s="1" t="s">
        <v>68</v>
      </c>
      <c r="D1074" s="1" t="s">
        <v>46</v>
      </c>
      <c r="E1074" s="1" t="s">
        <v>4540</v>
      </c>
      <c r="F1074" s="1"/>
      <c r="G1074" s="1" t="s">
        <v>70</v>
      </c>
      <c r="H1074" s="1" t="s">
        <v>93</v>
      </c>
      <c r="I1074" s="1">
        <v>675000.0</v>
      </c>
      <c r="J1074" s="1"/>
      <c r="K1074" s="1"/>
      <c r="L1074" s="1" t="s">
        <v>65</v>
      </c>
      <c r="M1074" s="1" t="s">
        <v>4541</v>
      </c>
      <c r="N1074" s="1" t="s">
        <v>142</v>
      </c>
      <c r="O1074" s="1" t="s">
        <v>143</v>
      </c>
      <c r="P1074" s="2">
        <v>43794.7083333333</v>
      </c>
      <c r="Q1074" s="1" t="s">
        <v>373</v>
      </c>
      <c r="R1074" s="3">
        <v>43794.0</v>
      </c>
      <c r="S1074" s="1"/>
      <c r="T1074" s="1">
        <v>1302405.0</v>
      </c>
      <c r="U1074" s="1" t="s">
        <v>2258</v>
      </c>
      <c r="V1074" s="1" t="s">
        <v>486</v>
      </c>
      <c r="W1074" s="1" t="s">
        <v>177</v>
      </c>
      <c r="X1074" s="1"/>
      <c r="Y1074" s="1" t="str">
        <f>"02002002328201994"</f>
        <v>02002002328201994</v>
      </c>
      <c r="Z1074" s="1" t="s">
        <v>147</v>
      </c>
      <c r="AA1074" s="1" t="s">
        <v>4542</v>
      </c>
      <c r="AB1074" s="1" t="str">
        <f>"***922772**"</f>
        <v>***922772**</v>
      </c>
      <c r="AC1074" s="1"/>
      <c r="AD1074" s="1" t="s">
        <v>116</v>
      </c>
      <c r="AE1074" s="1"/>
      <c r="AF1074" s="1">
        <v>-67.221111</v>
      </c>
      <c r="AG1074" s="1">
        <v>-8.812222</v>
      </c>
      <c r="AH1074" s="1" t="s">
        <v>4543</v>
      </c>
      <c r="AI1074" s="1"/>
      <c r="AJ1074" s="1" t="s">
        <v>172</v>
      </c>
      <c r="AK1074" s="1"/>
      <c r="AL1074" s="1" t="s">
        <v>118</v>
      </c>
      <c r="AM1074" s="1" t="s">
        <v>65</v>
      </c>
      <c r="AN1074" s="1" t="s">
        <v>1395</v>
      </c>
      <c r="AO1074" s="2">
        <v>43894.0</v>
      </c>
      <c r="AP1074" s="2">
        <v>44074.4090046296</v>
      </c>
      <c r="AQ1074" s="1" t="s">
        <v>80</v>
      </c>
      <c r="AR1074" s="1" t="s">
        <v>421</v>
      </c>
      <c r="AS1074" s="1" t="s">
        <v>1944</v>
      </c>
      <c r="AT1074" s="2">
        <v>44269.931099537</v>
      </c>
    </row>
    <row r="1075" ht="13.5" customHeight="1">
      <c r="A1075" s="1">
        <v>2035840.0</v>
      </c>
      <c r="B1075" s="1" t="s">
        <v>67</v>
      </c>
      <c r="C1075" s="1" t="s">
        <v>68</v>
      </c>
      <c r="D1075" s="1" t="s">
        <v>46</v>
      </c>
      <c r="E1075" s="1" t="s">
        <v>4544</v>
      </c>
      <c r="F1075" s="1"/>
      <c r="G1075" s="1" t="s">
        <v>70</v>
      </c>
      <c r="H1075" s="1" t="s">
        <v>50</v>
      </c>
      <c r="I1075" s="1">
        <v>20000.0</v>
      </c>
      <c r="J1075" s="1"/>
      <c r="K1075" s="1"/>
      <c r="L1075" s="1" t="s">
        <v>196</v>
      </c>
      <c r="M1075" s="1" t="s">
        <v>4545</v>
      </c>
      <c r="N1075" s="1" t="s">
        <v>72</v>
      </c>
      <c r="O1075" s="1" t="s">
        <v>73</v>
      </c>
      <c r="P1075" s="2">
        <v>43794.7083333333</v>
      </c>
      <c r="Q1075" s="1" t="s">
        <v>74</v>
      </c>
      <c r="R1075" s="3">
        <v>43794.0</v>
      </c>
      <c r="S1075" s="1"/>
      <c r="T1075" s="1">
        <v>1505809.0</v>
      </c>
      <c r="U1075" s="1" t="s">
        <v>3084</v>
      </c>
      <c r="V1075" s="1" t="s">
        <v>193</v>
      </c>
      <c r="W1075" s="1" t="s">
        <v>177</v>
      </c>
      <c r="X1075" s="1"/>
      <c r="Y1075" s="1" t="str">
        <f>"02018001911202042"</f>
        <v>02018001911202042</v>
      </c>
      <c r="Z1075" s="1" t="s">
        <v>76</v>
      </c>
      <c r="AA1075" s="1" t="s">
        <v>4451</v>
      </c>
      <c r="AB1075" s="1" t="str">
        <f>"***755362**"</f>
        <v>***755362**</v>
      </c>
      <c r="AC1075" s="1"/>
      <c r="AD1075" s="1"/>
      <c r="AE1075" s="1"/>
      <c r="AF1075" s="1">
        <v>-50.861668</v>
      </c>
      <c r="AG1075" s="1">
        <v>-3.511667</v>
      </c>
      <c r="AH1075" s="1" t="s">
        <v>4546</v>
      </c>
      <c r="AI1075" s="1"/>
      <c r="AJ1075" s="1" t="s">
        <v>196</v>
      </c>
      <c r="AK1075" s="1"/>
      <c r="AL1075" s="1" t="s">
        <v>79</v>
      </c>
      <c r="AM1075" s="1" t="s">
        <v>65</v>
      </c>
      <c r="AN1075" s="1" t="s">
        <v>3087</v>
      </c>
      <c r="AO1075" s="2">
        <v>43920.0</v>
      </c>
      <c r="AP1075" s="2">
        <v>43920.7891319444</v>
      </c>
      <c r="AQ1075" s="1" t="s">
        <v>80</v>
      </c>
      <c r="AR1075" s="1" t="s">
        <v>1607</v>
      </c>
      <c r="AS1075" s="1"/>
      <c r="AT1075" s="2">
        <v>44269.931099537</v>
      </c>
    </row>
    <row r="1076" ht="13.5" customHeight="1">
      <c r="A1076" s="1">
        <v>2036682.0</v>
      </c>
      <c r="B1076" s="1" t="s">
        <v>67</v>
      </c>
      <c r="C1076" s="1" t="s">
        <v>68</v>
      </c>
      <c r="D1076" s="1" t="s">
        <v>46</v>
      </c>
      <c r="E1076" s="1" t="s">
        <v>4547</v>
      </c>
      <c r="F1076" s="1"/>
      <c r="G1076" s="1" t="s">
        <v>70</v>
      </c>
      <c r="H1076" s="1" t="s">
        <v>93</v>
      </c>
      <c r="I1076" s="1">
        <v>15000.0</v>
      </c>
      <c r="J1076" s="1"/>
      <c r="K1076" s="1"/>
      <c r="L1076" s="1" t="s">
        <v>371</v>
      </c>
      <c r="M1076" s="1" t="s">
        <v>4548</v>
      </c>
      <c r="N1076" s="1" t="s">
        <v>142</v>
      </c>
      <c r="O1076" s="1" t="s">
        <v>143</v>
      </c>
      <c r="P1076" s="2">
        <v>43794.7083333333</v>
      </c>
      <c r="Q1076" s="1" t="s">
        <v>74</v>
      </c>
      <c r="R1076" s="1"/>
      <c r="S1076" s="1"/>
      <c r="T1076" s="1">
        <v>5217203.0</v>
      </c>
      <c r="U1076" s="1" t="s">
        <v>4549</v>
      </c>
      <c r="V1076" s="1" t="s">
        <v>375</v>
      </c>
      <c r="W1076" s="1" t="s">
        <v>127</v>
      </c>
      <c r="X1076" s="1"/>
      <c r="Y1076" s="1" t="str">
        <f>"02010000292202049"</f>
        <v>02010000292202049</v>
      </c>
      <c r="Z1076" s="1" t="s">
        <v>147</v>
      </c>
      <c r="AA1076" s="1" t="s">
        <v>4550</v>
      </c>
      <c r="AB1076" s="1" t="str">
        <f>"***397388**"</f>
        <v>***397388**</v>
      </c>
      <c r="AC1076" s="1"/>
      <c r="AD1076" s="1" t="s">
        <v>116</v>
      </c>
      <c r="AE1076" s="1"/>
      <c r="AF1076" s="1">
        <v>-52.04</v>
      </c>
      <c r="AG1076" s="1">
        <v>-16.3625</v>
      </c>
      <c r="AH1076" s="1" t="s">
        <v>4551</v>
      </c>
      <c r="AI1076" s="1"/>
      <c r="AJ1076" s="1" t="s">
        <v>371</v>
      </c>
      <c r="AK1076" s="1"/>
      <c r="AL1076" s="1" t="s">
        <v>118</v>
      </c>
      <c r="AM1076" s="1" t="s">
        <v>65</v>
      </c>
      <c r="AN1076" s="1" t="s">
        <v>3712</v>
      </c>
      <c r="AO1076" s="2">
        <v>43966.0</v>
      </c>
      <c r="AP1076" s="2">
        <v>44067.630625</v>
      </c>
      <c r="AQ1076" s="1" t="s">
        <v>80</v>
      </c>
      <c r="AR1076" s="1" t="s">
        <v>2065</v>
      </c>
      <c r="AS1076" s="1"/>
      <c r="AT1076" s="2">
        <v>44269.931099537</v>
      </c>
    </row>
    <row r="1077" ht="13.5" customHeight="1">
      <c r="A1077" s="1"/>
      <c r="B1077" s="1" t="s">
        <v>46</v>
      </c>
      <c r="C1077" s="1" t="s">
        <v>47</v>
      </c>
      <c r="D1077" s="1"/>
      <c r="E1077" s="1" t="s">
        <v>4552</v>
      </c>
      <c r="F1077" s="1"/>
      <c r="G1077" s="1" t="s">
        <v>49</v>
      </c>
      <c r="H1077" s="1" t="s">
        <v>93</v>
      </c>
      <c r="I1077" s="1">
        <v>500.0</v>
      </c>
      <c r="J1077" s="1"/>
      <c r="K1077" s="1"/>
      <c r="L1077" s="1"/>
      <c r="M1077" s="1" t="s">
        <v>4553</v>
      </c>
      <c r="N1077" s="1" t="s">
        <v>95</v>
      </c>
      <c r="O1077" s="1" t="s">
        <v>96</v>
      </c>
      <c r="P1077" s="2">
        <v>43794.6947337963</v>
      </c>
      <c r="Q1077" s="1" t="s">
        <v>74</v>
      </c>
      <c r="R1077" s="1"/>
      <c r="S1077" s="1"/>
      <c r="T1077" s="1">
        <v>1501402.0</v>
      </c>
      <c r="U1077" s="1" t="s">
        <v>192</v>
      </c>
      <c r="V1077" s="1" t="s">
        <v>193</v>
      </c>
      <c r="W1077" s="1" t="s">
        <v>177</v>
      </c>
      <c r="X1077" s="1"/>
      <c r="Y1077" s="1"/>
      <c r="Z1077" s="1" t="s">
        <v>98</v>
      </c>
      <c r="AA1077" s="1" t="s">
        <v>4554</v>
      </c>
      <c r="AB1077" s="1" t="str">
        <f>"***287922**"</f>
        <v>***287922**</v>
      </c>
      <c r="AC1077" s="1"/>
      <c r="AD1077" s="1" t="s">
        <v>62</v>
      </c>
      <c r="AE1077" s="1"/>
      <c r="AF1077" s="1">
        <v>-48.467224</v>
      </c>
      <c r="AG1077" s="1">
        <v>-1.425833</v>
      </c>
      <c r="AH1077" s="1" t="s">
        <v>4555</v>
      </c>
      <c r="AI1077" s="1"/>
      <c r="AJ1077" s="1" t="s">
        <v>196</v>
      </c>
      <c r="AK1077" s="1"/>
      <c r="AL1077" s="1"/>
      <c r="AM1077" s="1" t="s">
        <v>65</v>
      </c>
      <c r="AN1077" s="1" t="s">
        <v>197</v>
      </c>
      <c r="AO1077" s="1"/>
      <c r="AP1077" s="2">
        <v>43798.716087963</v>
      </c>
      <c r="AQ1077" s="1"/>
      <c r="AR1077" s="1" t="s">
        <v>2340</v>
      </c>
      <c r="AS1077" s="1" t="s">
        <v>4556</v>
      </c>
      <c r="AT1077" s="2">
        <v>44269.931099537</v>
      </c>
    </row>
    <row r="1078" ht="13.5" customHeight="1">
      <c r="A1078" s="1">
        <v>2034830.0</v>
      </c>
      <c r="B1078" s="1" t="s">
        <v>67</v>
      </c>
      <c r="C1078" s="1" t="s">
        <v>68</v>
      </c>
      <c r="D1078" s="1" t="s">
        <v>46</v>
      </c>
      <c r="E1078" s="1" t="s">
        <v>4557</v>
      </c>
      <c r="F1078" s="1"/>
      <c r="G1078" s="1" t="s">
        <v>70</v>
      </c>
      <c r="H1078" s="1" t="s">
        <v>50</v>
      </c>
      <c r="I1078" s="1">
        <v>10510.0</v>
      </c>
      <c r="J1078" s="1"/>
      <c r="K1078" s="1"/>
      <c r="L1078" s="1" t="s">
        <v>196</v>
      </c>
      <c r="M1078" s="1" t="s">
        <v>4558</v>
      </c>
      <c r="N1078" s="1" t="s">
        <v>142</v>
      </c>
      <c r="O1078" s="1" t="s">
        <v>143</v>
      </c>
      <c r="P1078" s="2">
        <v>43794.6666666667</v>
      </c>
      <c r="Q1078" s="1" t="s">
        <v>74</v>
      </c>
      <c r="R1078" s="3">
        <v>43794.0</v>
      </c>
      <c r="S1078" s="1"/>
      <c r="T1078" s="1">
        <v>1505809.0</v>
      </c>
      <c r="U1078" s="1" t="s">
        <v>3084</v>
      </c>
      <c r="V1078" s="1" t="s">
        <v>193</v>
      </c>
      <c r="W1078" s="1" t="s">
        <v>177</v>
      </c>
      <c r="X1078" s="1"/>
      <c r="Y1078" s="1"/>
      <c r="Z1078" s="1" t="s">
        <v>147</v>
      </c>
      <c r="AA1078" s="1" t="s">
        <v>4524</v>
      </c>
      <c r="AB1078" s="1" t="str">
        <f t="shared" ref="AB1078:AB1079" si="59">"***437482**"</f>
        <v>***437482**</v>
      </c>
      <c r="AC1078" s="1"/>
      <c r="AD1078" s="1"/>
      <c r="AE1078" s="1"/>
      <c r="AF1078" s="1">
        <v>-50.673611</v>
      </c>
      <c r="AG1078" s="1">
        <v>-3.3425</v>
      </c>
      <c r="AH1078" s="1" t="s">
        <v>4559</v>
      </c>
      <c r="AI1078" s="1"/>
      <c r="AJ1078" s="1" t="s">
        <v>196</v>
      </c>
      <c r="AK1078" s="1"/>
      <c r="AL1078" s="1" t="s">
        <v>79</v>
      </c>
      <c r="AM1078" s="1" t="s">
        <v>65</v>
      </c>
      <c r="AN1078" s="1" t="s">
        <v>3087</v>
      </c>
      <c r="AO1078" s="2">
        <v>43892.0</v>
      </c>
      <c r="AP1078" s="2">
        <v>43892.4598611111</v>
      </c>
      <c r="AQ1078" s="1" t="s">
        <v>80</v>
      </c>
      <c r="AR1078" s="1" t="s">
        <v>1607</v>
      </c>
      <c r="AS1078" s="1"/>
      <c r="AT1078" s="2">
        <v>44269.931099537</v>
      </c>
    </row>
    <row r="1079" ht="13.5" customHeight="1">
      <c r="A1079" s="1">
        <v>2034831.0</v>
      </c>
      <c r="B1079" s="1" t="s">
        <v>67</v>
      </c>
      <c r="C1079" s="1" t="s">
        <v>68</v>
      </c>
      <c r="D1079" s="1" t="s">
        <v>46</v>
      </c>
      <c r="E1079" s="1" t="s">
        <v>4560</v>
      </c>
      <c r="F1079" s="1"/>
      <c r="G1079" s="1" t="s">
        <v>70</v>
      </c>
      <c r="H1079" s="1" t="s">
        <v>93</v>
      </c>
      <c r="I1079" s="1">
        <v>30000.0</v>
      </c>
      <c r="J1079" s="1"/>
      <c r="K1079" s="1"/>
      <c r="L1079" s="1" t="s">
        <v>196</v>
      </c>
      <c r="M1079" s="1" t="s">
        <v>4561</v>
      </c>
      <c r="N1079" s="1" t="s">
        <v>142</v>
      </c>
      <c r="O1079" s="1" t="s">
        <v>143</v>
      </c>
      <c r="P1079" s="2">
        <v>43794.6666666667</v>
      </c>
      <c r="Q1079" s="1" t="s">
        <v>74</v>
      </c>
      <c r="R1079" s="3">
        <v>43794.0</v>
      </c>
      <c r="S1079" s="1"/>
      <c r="T1079" s="1">
        <v>1505809.0</v>
      </c>
      <c r="U1079" s="1" t="s">
        <v>3084</v>
      </c>
      <c r="V1079" s="1" t="s">
        <v>193</v>
      </c>
      <c r="W1079" s="1" t="s">
        <v>177</v>
      </c>
      <c r="X1079" s="1"/>
      <c r="Y1079" s="1"/>
      <c r="Z1079" s="1" t="s">
        <v>147</v>
      </c>
      <c r="AA1079" s="1" t="s">
        <v>4524</v>
      </c>
      <c r="AB1079" s="1" t="str">
        <f t="shared" si="59"/>
        <v>***437482**</v>
      </c>
      <c r="AC1079" s="1"/>
      <c r="AD1079" s="1"/>
      <c r="AE1079" s="1"/>
      <c r="AF1079" s="1">
        <v>-50.656113</v>
      </c>
      <c r="AG1079" s="1">
        <v>-3.337778</v>
      </c>
      <c r="AH1079" s="1" t="s">
        <v>4562</v>
      </c>
      <c r="AI1079" s="1"/>
      <c r="AJ1079" s="1" t="s">
        <v>196</v>
      </c>
      <c r="AK1079" s="1"/>
      <c r="AL1079" s="1" t="s">
        <v>79</v>
      </c>
      <c r="AM1079" s="1" t="s">
        <v>65</v>
      </c>
      <c r="AN1079" s="1" t="s">
        <v>3087</v>
      </c>
      <c r="AO1079" s="2">
        <v>43892.0</v>
      </c>
      <c r="AP1079" s="2">
        <v>43892.4600115741</v>
      </c>
      <c r="AQ1079" s="1" t="s">
        <v>80</v>
      </c>
      <c r="AR1079" s="1" t="s">
        <v>392</v>
      </c>
      <c r="AS1079" s="1"/>
      <c r="AT1079" s="2">
        <v>44269.931099537</v>
      </c>
    </row>
    <row r="1080" ht="13.5" customHeight="1">
      <c r="A1080" s="1"/>
      <c r="B1080" s="1" t="s">
        <v>46</v>
      </c>
      <c r="C1080" s="1" t="s">
        <v>47</v>
      </c>
      <c r="D1080" s="1"/>
      <c r="E1080" s="1" t="s">
        <v>4563</v>
      </c>
      <c r="F1080" s="1"/>
      <c r="G1080" s="1" t="s">
        <v>49</v>
      </c>
      <c r="H1080" s="1" t="s">
        <v>93</v>
      </c>
      <c r="I1080" s="1">
        <v>195000.0</v>
      </c>
      <c r="J1080" s="1"/>
      <c r="K1080" s="1"/>
      <c r="L1080" s="1"/>
      <c r="M1080" s="1" t="s">
        <v>4564</v>
      </c>
      <c r="N1080" s="1" t="s">
        <v>142</v>
      </c>
      <c r="O1080" s="1" t="s">
        <v>143</v>
      </c>
      <c r="P1080" s="2">
        <v>43794.6651388889</v>
      </c>
      <c r="Q1080" s="1" t="s">
        <v>74</v>
      </c>
      <c r="R1080" s="1"/>
      <c r="S1080" s="1"/>
      <c r="T1080" s="1">
        <v>1507300.0</v>
      </c>
      <c r="U1080" s="1" t="s">
        <v>3161</v>
      </c>
      <c r="V1080" s="1" t="s">
        <v>193</v>
      </c>
      <c r="W1080" s="1" t="s">
        <v>177</v>
      </c>
      <c r="X1080" s="1"/>
      <c r="Y1080" s="1"/>
      <c r="Z1080" s="1" t="s">
        <v>147</v>
      </c>
      <c r="AA1080" s="1" t="s">
        <v>4565</v>
      </c>
      <c r="AB1080" s="1" t="str">
        <f>"***381242**"</f>
        <v>***381242**</v>
      </c>
      <c r="AC1080" s="1"/>
      <c r="AD1080" s="1" t="s">
        <v>116</v>
      </c>
      <c r="AE1080" s="1"/>
      <c r="AF1080" s="1">
        <v>-52.654446</v>
      </c>
      <c r="AG1080" s="1">
        <v>-6.368056</v>
      </c>
      <c r="AH1080" s="1" t="s">
        <v>4566</v>
      </c>
      <c r="AI1080" s="1"/>
      <c r="AJ1080" s="1" t="s">
        <v>172</v>
      </c>
      <c r="AK1080" s="1"/>
      <c r="AL1080" s="1"/>
      <c r="AM1080" s="1" t="s">
        <v>65</v>
      </c>
      <c r="AN1080" s="1" t="s">
        <v>2164</v>
      </c>
      <c r="AO1080" s="1"/>
      <c r="AP1080" s="2">
        <v>43794.6756134259</v>
      </c>
      <c r="AQ1080" s="1"/>
      <c r="AR1080" s="1" t="s">
        <v>644</v>
      </c>
      <c r="AS1080" s="1" t="s">
        <v>4567</v>
      </c>
      <c r="AT1080" s="2">
        <v>44269.931099537</v>
      </c>
    </row>
    <row r="1081" ht="13.5" customHeight="1">
      <c r="A1081" s="1">
        <v>2034460.0</v>
      </c>
      <c r="B1081" s="1" t="s">
        <v>67</v>
      </c>
      <c r="C1081" s="1" t="s">
        <v>68</v>
      </c>
      <c r="D1081" s="1" t="s">
        <v>46</v>
      </c>
      <c r="E1081" s="1" t="s">
        <v>4568</v>
      </c>
      <c r="F1081" s="1"/>
      <c r="G1081" s="1" t="s">
        <v>70</v>
      </c>
      <c r="H1081" s="1" t="s">
        <v>93</v>
      </c>
      <c r="I1081" s="1">
        <v>65500.0</v>
      </c>
      <c r="J1081" s="1"/>
      <c r="K1081" s="1"/>
      <c r="L1081" s="1" t="s">
        <v>106</v>
      </c>
      <c r="M1081" s="1" t="s">
        <v>3834</v>
      </c>
      <c r="N1081" s="1" t="s">
        <v>95</v>
      </c>
      <c r="O1081" s="1" t="s">
        <v>96</v>
      </c>
      <c r="P1081" s="2">
        <v>43794.6472222222</v>
      </c>
      <c r="Q1081" s="1" t="s">
        <v>74</v>
      </c>
      <c r="R1081" s="1"/>
      <c r="S1081" s="1"/>
      <c r="T1081" s="1">
        <v>2304400.0</v>
      </c>
      <c r="U1081" s="1" t="s">
        <v>111</v>
      </c>
      <c r="V1081" s="1" t="s">
        <v>112</v>
      </c>
      <c r="W1081" s="1" t="s">
        <v>113</v>
      </c>
      <c r="X1081" s="1"/>
      <c r="Y1081" s="1" t="str">
        <f>"02007003926201931"</f>
        <v>02007003926201931</v>
      </c>
      <c r="Z1081" s="1" t="s">
        <v>1267</v>
      </c>
      <c r="AA1081" s="1" t="s">
        <v>3838</v>
      </c>
      <c r="AB1081" s="1" t="str">
        <f>"***026223**"</f>
        <v>***026223**</v>
      </c>
      <c r="AC1081" s="1"/>
      <c r="AD1081" s="1" t="s">
        <v>116</v>
      </c>
      <c r="AE1081" s="1"/>
      <c r="AF1081" s="1">
        <v>0.0</v>
      </c>
      <c r="AG1081" s="1">
        <v>0.0</v>
      </c>
      <c r="AH1081" s="1" t="s">
        <v>3819</v>
      </c>
      <c r="AI1081" s="1"/>
      <c r="AJ1081" s="1"/>
      <c r="AK1081" s="1"/>
      <c r="AL1081" s="1" t="s">
        <v>118</v>
      </c>
      <c r="AM1081" s="1"/>
      <c r="AN1081" s="1"/>
      <c r="AO1081" s="2">
        <v>43872.3351041667</v>
      </c>
      <c r="AP1081" s="2">
        <v>43872.3351041667</v>
      </c>
      <c r="AQ1081" s="1" t="s">
        <v>80</v>
      </c>
      <c r="AR1081" s="1" t="s">
        <v>3805</v>
      </c>
      <c r="AS1081" s="1"/>
      <c r="AT1081" s="2">
        <v>44269.931099537</v>
      </c>
    </row>
    <row r="1082" ht="13.5" customHeight="1">
      <c r="A1082" s="1"/>
      <c r="B1082" s="1" t="s">
        <v>46</v>
      </c>
      <c r="C1082" s="1" t="s">
        <v>47</v>
      </c>
      <c r="D1082" s="1"/>
      <c r="E1082" s="1" t="s">
        <v>4569</v>
      </c>
      <c r="F1082" s="1"/>
      <c r="G1082" s="1" t="s">
        <v>49</v>
      </c>
      <c r="H1082" s="1" t="s">
        <v>93</v>
      </c>
      <c r="I1082" s="1">
        <v>205000.0</v>
      </c>
      <c r="J1082" s="1"/>
      <c r="K1082" s="1"/>
      <c r="L1082" s="1"/>
      <c r="M1082" s="1" t="s">
        <v>4570</v>
      </c>
      <c r="N1082" s="1" t="s">
        <v>142</v>
      </c>
      <c r="O1082" s="1" t="s">
        <v>143</v>
      </c>
      <c r="P1082" s="2">
        <v>43794.6440625</v>
      </c>
      <c r="Q1082" s="1" t="s">
        <v>74</v>
      </c>
      <c r="R1082" s="1"/>
      <c r="S1082" s="1"/>
      <c r="T1082" s="1">
        <v>1507300.0</v>
      </c>
      <c r="U1082" s="1" t="s">
        <v>3161</v>
      </c>
      <c r="V1082" s="1" t="s">
        <v>193</v>
      </c>
      <c r="W1082" s="1" t="s">
        <v>177</v>
      </c>
      <c r="X1082" s="1"/>
      <c r="Y1082" s="1"/>
      <c r="Z1082" s="1" t="s">
        <v>147</v>
      </c>
      <c r="AA1082" s="1" t="s">
        <v>4571</v>
      </c>
      <c r="AB1082" s="1" t="str">
        <f>"***420901**"</f>
        <v>***420901**</v>
      </c>
      <c r="AC1082" s="1"/>
      <c r="AD1082" s="1" t="s">
        <v>116</v>
      </c>
      <c r="AE1082" s="1"/>
      <c r="AF1082" s="1">
        <v>-51.621109</v>
      </c>
      <c r="AG1082" s="1">
        <v>-6.690278</v>
      </c>
      <c r="AH1082" s="1" t="s">
        <v>4572</v>
      </c>
      <c r="AI1082" s="1"/>
      <c r="AJ1082" s="1" t="s">
        <v>172</v>
      </c>
      <c r="AK1082" s="1"/>
      <c r="AL1082" s="1"/>
      <c r="AM1082" s="1" t="s">
        <v>65</v>
      </c>
      <c r="AN1082" s="1" t="s">
        <v>2164</v>
      </c>
      <c r="AO1082" s="1"/>
      <c r="AP1082" s="2">
        <v>43794.6524768519</v>
      </c>
      <c r="AQ1082" s="1"/>
      <c r="AR1082" s="1" t="s">
        <v>644</v>
      </c>
      <c r="AS1082" s="1" t="s">
        <v>4567</v>
      </c>
      <c r="AT1082" s="2">
        <v>44269.931099537</v>
      </c>
    </row>
    <row r="1083" ht="13.5" customHeight="1">
      <c r="A1083" s="1">
        <v>2034829.0</v>
      </c>
      <c r="B1083" s="1" t="s">
        <v>67</v>
      </c>
      <c r="C1083" s="1" t="s">
        <v>68</v>
      </c>
      <c r="D1083" s="1" t="s">
        <v>46</v>
      </c>
      <c r="E1083" s="1" t="s">
        <v>4573</v>
      </c>
      <c r="F1083" s="1"/>
      <c r="G1083" s="1" t="s">
        <v>70</v>
      </c>
      <c r="H1083" s="1" t="s">
        <v>93</v>
      </c>
      <c r="I1083" s="1">
        <v>1610000.0</v>
      </c>
      <c r="J1083" s="1"/>
      <c r="K1083" s="1"/>
      <c r="L1083" s="1" t="s">
        <v>196</v>
      </c>
      <c r="M1083" s="1" t="s">
        <v>4574</v>
      </c>
      <c r="N1083" s="1" t="s">
        <v>142</v>
      </c>
      <c r="O1083" s="1" t="s">
        <v>143</v>
      </c>
      <c r="P1083" s="2">
        <v>43794.625</v>
      </c>
      <c r="Q1083" s="1" t="s">
        <v>74</v>
      </c>
      <c r="R1083" s="3">
        <v>43794.0</v>
      </c>
      <c r="S1083" s="1"/>
      <c r="T1083" s="1">
        <v>1505809.0</v>
      </c>
      <c r="U1083" s="1" t="s">
        <v>3084</v>
      </c>
      <c r="V1083" s="1" t="s">
        <v>193</v>
      </c>
      <c r="W1083" s="1" t="s">
        <v>177</v>
      </c>
      <c r="X1083" s="1"/>
      <c r="Y1083" s="1"/>
      <c r="Z1083" s="1" t="s">
        <v>147</v>
      </c>
      <c r="AA1083" s="1" t="s">
        <v>4524</v>
      </c>
      <c r="AB1083" s="1" t="str">
        <f>"***437482**"</f>
        <v>***437482**</v>
      </c>
      <c r="AC1083" s="1"/>
      <c r="AD1083" s="1"/>
      <c r="AE1083" s="1"/>
      <c r="AF1083" s="1">
        <v>-50.673611</v>
      </c>
      <c r="AG1083" s="1">
        <v>-3.3425</v>
      </c>
      <c r="AH1083" s="1" t="s">
        <v>4575</v>
      </c>
      <c r="AI1083" s="1"/>
      <c r="AJ1083" s="1" t="s">
        <v>196</v>
      </c>
      <c r="AK1083" s="1"/>
      <c r="AL1083" s="1" t="s">
        <v>79</v>
      </c>
      <c r="AM1083" s="1" t="s">
        <v>65</v>
      </c>
      <c r="AN1083" s="1" t="s">
        <v>3087</v>
      </c>
      <c r="AO1083" s="2">
        <v>43892.0</v>
      </c>
      <c r="AP1083" s="2">
        <v>43892.4592824074</v>
      </c>
      <c r="AQ1083" s="1" t="s">
        <v>80</v>
      </c>
      <c r="AR1083" s="1" t="s">
        <v>392</v>
      </c>
      <c r="AS1083" s="1"/>
      <c r="AT1083" s="2">
        <v>44269.931099537</v>
      </c>
    </row>
    <row r="1084" ht="13.5" customHeight="1">
      <c r="A1084" s="1">
        <v>2035839.0</v>
      </c>
      <c r="B1084" s="1" t="s">
        <v>67</v>
      </c>
      <c r="C1084" s="1" t="s">
        <v>68</v>
      </c>
      <c r="D1084" s="1" t="s">
        <v>46</v>
      </c>
      <c r="E1084" s="1" t="s">
        <v>4576</v>
      </c>
      <c r="F1084" s="1"/>
      <c r="G1084" s="1" t="s">
        <v>70</v>
      </c>
      <c r="H1084" s="1" t="s">
        <v>93</v>
      </c>
      <c r="I1084" s="1">
        <v>365000.0</v>
      </c>
      <c r="J1084" s="1"/>
      <c r="K1084" s="1"/>
      <c r="L1084" s="1" t="s">
        <v>196</v>
      </c>
      <c r="M1084" s="1" t="s">
        <v>4577</v>
      </c>
      <c r="N1084" s="1" t="s">
        <v>142</v>
      </c>
      <c r="O1084" s="1" t="s">
        <v>143</v>
      </c>
      <c r="P1084" s="2">
        <v>43794.625</v>
      </c>
      <c r="Q1084" s="1" t="s">
        <v>74</v>
      </c>
      <c r="R1084" s="3">
        <v>43794.0</v>
      </c>
      <c r="S1084" s="1"/>
      <c r="T1084" s="1">
        <v>1505809.0</v>
      </c>
      <c r="U1084" s="1" t="s">
        <v>3084</v>
      </c>
      <c r="V1084" s="1" t="s">
        <v>193</v>
      </c>
      <c r="W1084" s="1" t="s">
        <v>177</v>
      </c>
      <c r="X1084" s="1"/>
      <c r="Y1084" s="1" t="str">
        <f>"02018001910202006"</f>
        <v>02018001910202006</v>
      </c>
      <c r="Z1084" s="1" t="s">
        <v>147</v>
      </c>
      <c r="AA1084" s="1" t="s">
        <v>4451</v>
      </c>
      <c r="AB1084" s="1" t="str">
        <f>"***755362**"</f>
        <v>***755362**</v>
      </c>
      <c r="AC1084" s="1"/>
      <c r="AD1084" s="1"/>
      <c r="AE1084" s="1"/>
      <c r="AF1084" s="1">
        <v>-50.796112</v>
      </c>
      <c r="AG1084" s="1">
        <v>-3.518333</v>
      </c>
      <c r="AH1084" s="1" t="s">
        <v>4578</v>
      </c>
      <c r="AI1084" s="1"/>
      <c r="AJ1084" s="1" t="s">
        <v>196</v>
      </c>
      <c r="AK1084" s="1"/>
      <c r="AL1084" s="1" t="s">
        <v>79</v>
      </c>
      <c r="AM1084" s="1" t="s">
        <v>65</v>
      </c>
      <c r="AN1084" s="1" t="s">
        <v>3087</v>
      </c>
      <c r="AO1084" s="2">
        <v>43920.0</v>
      </c>
      <c r="AP1084" s="2">
        <v>43920.7884490741</v>
      </c>
      <c r="AQ1084" s="1" t="s">
        <v>80</v>
      </c>
      <c r="AR1084" s="1" t="s">
        <v>650</v>
      </c>
      <c r="AS1084" s="1"/>
      <c r="AT1084" s="2">
        <v>44269.931099537</v>
      </c>
    </row>
    <row r="1085" ht="13.5" customHeight="1">
      <c r="A1085" s="1">
        <v>2034514.0</v>
      </c>
      <c r="B1085" s="1" t="s">
        <v>67</v>
      </c>
      <c r="C1085" s="1" t="s">
        <v>68</v>
      </c>
      <c r="D1085" s="1" t="s">
        <v>46</v>
      </c>
      <c r="E1085" s="1" t="s">
        <v>4579</v>
      </c>
      <c r="F1085" s="1"/>
      <c r="G1085" s="1" t="s">
        <v>70</v>
      </c>
      <c r="H1085" s="1" t="s">
        <v>93</v>
      </c>
      <c r="I1085" s="1">
        <v>65500.0</v>
      </c>
      <c r="J1085" s="1"/>
      <c r="K1085" s="1"/>
      <c r="L1085" s="1" t="s">
        <v>106</v>
      </c>
      <c r="M1085" s="1" t="s">
        <v>4580</v>
      </c>
      <c r="N1085" s="1" t="s">
        <v>95</v>
      </c>
      <c r="O1085" s="1"/>
      <c r="P1085" s="2">
        <v>43794.6125</v>
      </c>
      <c r="Q1085" s="1" t="s">
        <v>74</v>
      </c>
      <c r="R1085" s="1"/>
      <c r="S1085" s="1"/>
      <c r="T1085" s="1">
        <v>2304400.0</v>
      </c>
      <c r="U1085" s="1" t="s">
        <v>111</v>
      </c>
      <c r="V1085" s="1" t="s">
        <v>112</v>
      </c>
      <c r="W1085" s="1" t="s">
        <v>113</v>
      </c>
      <c r="X1085" s="1"/>
      <c r="Y1085" s="1" t="str">
        <f>"02007003893201929"</f>
        <v>02007003893201929</v>
      </c>
      <c r="Z1085" s="1" t="s">
        <v>3814</v>
      </c>
      <c r="AA1085" s="1" t="s">
        <v>4489</v>
      </c>
      <c r="AB1085" s="1" t="str">
        <f>"***580923**"</f>
        <v>***580923**</v>
      </c>
      <c r="AC1085" s="1"/>
      <c r="AD1085" s="1" t="s">
        <v>116</v>
      </c>
      <c r="AE1085" s="1"/>
      <c r="AF1085" s="1">
        <v>0.0</v>
      </c>
      <c r="AG1085" s="1">
        <v>0.0</v>
      </c>
      <c r="AH1085" s="1" t="s">
        <v>3819</v>
      </c>
      <c r="AI1085" s="1"/>
      <c r="AJ1085" s="1"/>
      <c r="AK1085" s="1"/>
      <c r="AL1085" s="1" t="s">
        <v>118</v>
      </c>
      <c r="AM1085" s="1"/>
      <c r="AN1085" s="1"/>
      <c r="AO1085" s="2">
        <v>43880.5981712963</v>
      </c>
      <c r="AP1085" s="2">
        <v>43880.5981712963</v>
      </c>
      <c r="AQ1085" s="1" t="s">
        <v>80</v>
      </c>
      <c r="AR1085" s="1" t="s">
        <v>3805</v>
      </c>
      <c r="AS1085" s="1"/>
      <c r="AT1085" s="2">
        <v>44269.931099537</v>
      </c>
    </row>
    <row r="1086" ht="13.5" customHeight="1">
      <c r="A1086" s="1">
        <v>2034585.0</v>
      </c>
      <c r="B1086" s="1" t="s">
        <v>67</v>
      </c>
      <c r="C1086" s="1" t="s">
        <v>68</v>
      </c>
      <c r="D1086" s="1" t="s">
        <v>46</v>
      </c>
      <c r="E1086" s="1" t="s">
        <v>4581</v>
      </c>
      <c r="F1086" s="1"/>
      <c r="G1086" s="1" t="s">
        <v>70</v>
      </c>
      <c r="H1086" s="1" t="s">
        <v>93</v>
      </c>
      <c r="I1086" s="1">
        <v>26000.0</v>
      </c>
      <c r="J1086" s="1"/>
      <c r="K1086" s="1"/>
      <c r="L1086" s="1" t="s">
        <v>587</v>
      </c>
      <c r="M1086" s="1" t="s">
        <v>4582</v>
      </c>
      <c r="N1086" s="1" t="s">
        <v>95</v>
      </c>
      <c r="O1086" s="1" t="s">
        <v>96</v>
      </c>
      <c r="P1086" s="2">
        <v>43794.5416666667</v>
      </c>
      <c r="Q1086" s="1" t="s">
        <v>373</v>
      </c>
      <c r="R1086" s="3">
        <v>43794.0</v>
      </c>
      <c r="S1086" s="1"/>
      <c r="T1086" s="1">
        <v>3169703.0</v>
      </c>
      <c r="U1086" s="1" t="s">
        <v>589</v>
      </c>
      <c r="V1086" s="1" t="s">
        <v>126</v>
      </c>
      <c r="W1086" s="1" t="s">
        <v>127</v>
      </c>
      <c r="X1086" s="1"/>
      <c r="Y1086" s="1" t="str">
        <f>"02566000416201976"</f>
        <v>02566000416201976</v>
      </c>
      <c r="Z1086" s="1" t="s">
        <v>98</v>
      </c>
      <c r="AA1086" s="1" t="s">
        <v>4583</v>
      </c>
      <c r="AB1086" s="1" t="str">
        <f>"***190966**"</f>
        <v>***190966**</v>
      </c>
      <c r="AC1086" s="1"/>
      <c r="AD1086" s="1"/>
      <c r="AE1086" s="1"/>
      <c r="AF1086" s="1">
        <v>-43.044445</v>
      </c>
      <c r="AG1086" s="1">
        <v>-17.258055</v>
      </c>
      <c r="AH1086" s="1" t="s">
        <v>4584</v>
      </c>
      <c r="AI1086" s="1"/>
      <c r="AJ1086" s="1" t="s">
        <v>587</v>
      </c>
      <c r="AK1086" s="1"/>
      <c r="AL1086" s="1" t="s">
        <v>79</v>
      </c>
      <c r="AM1086" s="1" t="s">
        <v>65</v>
      </c>
      <c r="AN1086" s="1" t="s">
        <v>592</v>
      </c>
      <c r="AO1086" s="2">
        <v>43888.0</v>
      </c>
      <c r="AP1086" s="2">
        <v>43888.7753125</v>
      </c>
      <c r="AQ1086" s="1" t="s">
        <v>80</v>
      </c>
      <c r="AR1086" s="1" t="s">
        <v>2941</v>
      </c>
      <c r="AS1086" s="1"/>
      <c r="AT1086" s="2">
        <v>44269.931099537</v>
      </c>
    </row>
    <row r="1087" ht="13.5" customHeight="1">
      <c r="A1087" s="1"/>
      <c r="B1087" s="1" t="s">
        <v>46</v>
      </c>
      <c r="C1087" s="1" t="s">
        <v>47</v>
      </c>
      <c r="D1087" s="1"/>
      <c r="E1087" s="1" t="s">
        <v>4585</v>
      </c>
      <c r="F1087" s="1"/>
      <c r="G1087" s="1" t="s">
        <v>49</v>
      </c>
      <c r="H1087" s="1" t="s">
        <v>93</v>
      </c>
      <c r="I1087" s="1">
        <v>251540.0</v>
      </c>
      <c r="J1087" s="1"/>
      <c r="K1087" s="1"/>
      <c r="L1087" s="1"/>
      <c r="M1087" s="1" t="s">
        <v>4586</v>
      </c>
      <c r="N1087" s="1" t="s">
        <v>142</v>
      </c>
      <c r="O1087" s="1" t="s">
        <v>143</v>
      </c>
      <c r="P1087" s="2">
        <v>43794.5380902778</v>
      </c>
      <c r="Q1087" s="1" t="s">
        <v>74</v>
      </c>
      <c r="R1087" s="1"/>
      <c r="S1087" s="1"/>
      <c r="T1087" s="1">
        <v>1505650.0</v>
      </c>
      <c r="U1087" s="1" t="s">
        <v>4508</v>
      </c>
      <c r="V1087" s="1" t="s">
        <v>193</v>
      </c>
      <c r="W1087" s="1" t="s">
        <v>177</v>
      </c>
      <c r="X1087" s="1"/>
      <c r="Y1087" s="1"/>
      <c r="Z1087" s="1" t="s">
        <v>147</v>
      </c>
      <c r="AA1087" s="1" t="s">
        <v>4587</v>
      </c>
      <c r="AB1087" s="1" t="str">
        <f>"***862851**"</f>
        <v>***862851**</v>
      </c>
      <c r="AC1087" s="1"/>
      <c r="AD1087" s="1" t="s">
        <v>116</v>
      </c>
      <c r="AE1087" s="1"/>
      <c r="AF1087" s="1">
        <v>-54.541667</v>
      </c>
      <c r="AG1087" s="1">
        <v>-3.770833</v>
      </c>
      <c r="AH1087" s="1" t="s">
        <v>4588</v>
      </c>
      <c r="AI1087" s="1"/>
      <c r="AJ1087" s="1" t="s">
        <v>172</v>
      </c>
      <c r="AK1087" s="1"/>
      <c r="AL1087" s="1"/>
      <c r="AM1087" s="1" t="s">
        <v>65</v>
      </c>
      <c r="AN1087" s="1" t="s">
        <v>2164</v>
      </c>
      <c r="AO1087" s="1"/>
      <c r="AP1087" s="2">
        <v>44215.6748726852</v>
      </c>
      <c r="AQ1087" s="1"/>
      <c r="AR1087" s="1" t="s">
        <v>3150</v>
      </c>
      <c r="AS1087" s="1"/>
      <c r="AT1087" s="2">
        <v>44269.931099537</v>
      </c>
    </row>
    <row r="1088" ht="13.5" customHeight="1">
      <c r="A1088" s="1"/>
      <c r="B1088" s="1" t="s">
        <v>46</v>
      </c>
      <c r="C1088" s="1" t="s">
        <v>47</v>
      </c>
      <c r="D1088" s="1"/>
      <c r="E1088" s="1" t="s">
        <v>4589</v>
      </c>
      <c r="F1088" s="1"/>
      <c r="G1088" s="1" t="s">
        <v>49</v>
      </c>
      <c r="H1088" s="1" t="s">
        <v>93</v>
      </c>
      <c r="I1088" s="1">
        <v>303050.0</v>
      </c>
      <c r="J1088" s="1"/>
      <c r="K1088" s="1"/>
      <c r="L1088" s="1"/>
      <c r="M1088" s="1" t="s">
        <v>4590</v>
      </c>
      <c r="N1088" s="1" t="s">
        <v>142</v>
      </c>
      <c r="O1088" s="1" t="s">
        <v>143</v>
      </c>
      <c r="P1088" s="2">
        <v>43794.5024884259</v>
      </c>
      <c r="Q1088" s="1" t="s">
        <v>373</v>
      </c>
      <c r="R1088" s="1"/>
      <c r="S1088" s="1"/>
      <c r="T1088" s="1">
        <v>5205109.0</v>
      </c>
      <c r="U1088" s="1" t="s">
        <v>4143</v>
      </c>
      <c r="V1088" s="1" t="s">
        <v>375</v>
      </c>
      <c r="W1088" s="1" t="s">
        <v>127</v>
      </c>
      <c r="X1088" s="1"/>
      <c r="Y1088" s="1"/>
      <c r="Z1088" s="1" t="s">
        <v>147</v>
      </c>
      <c r="AA1088" s="1" t="s">
        <v>4591</v>
      </c>
      <c r="AB1088" s="1" t="str">
        <f>"***195001**"</f>
        <v>***195001**</v>
      </c>
      <c r="AC1088" s="1"/>
      <c r="AD1088" s="1" t="s">
        <v>116</v>
      </c>
      <c r="AE1088" s="1"/>
      <c r="AF1088" s="1">
        <v>-47.684166</v>
      </c>
      <c r="AG1088" s="1">
        <v>-18.0075</v>
      </c>
      <c r="AH1088" s="1" t="s">
        <v>4592</v>
      </c>
      <c r="AI1088" s="1"/>
      <c r="AJ1088" s="1" t="s">
        <v>244</v>
      </c>
      <c r="AK1088" s="1"/>
      <c r="AL1088" s="1"/>
      <c r="AM1088" s="1" t="s">
        <v>65</v>
      </c>
      <c r="AN1088" s="1" t="s">
        <v>432</v>
      </c>
      <c r="AO1088" s="1"/>
      <c r="AP1088" s="2">
        <v>43797.3663541667</v>
      </c>
      <c r="AQ1088" s="1"/>
      <c r="AR1088" s="1" t="s">
        <v>159</v>
      </c>
      <c r="AS1088" s="1"/>
      <c r="AT1088" s="2">
        <v>44269.931099537</v>
      </c>
    </row>
    <row r="1089" ht="13.5" customHeight="1">
      <c r="A1089" s="1"/>
      <c r="B1089" s="1" t="s">
        <v>46</v>
      </c>
      <c r="C1089" s="1" t="s">
        <v>47</v>
      </c>
      <c r="D1089" s="1"/>
      <c r="E1089" s="1" t="s">
        <v>4593</v>
      </c>
      <c r="F1089" s="1"/>
      <c r="G1089" s="1" t="s">
        <v>49</v>
      </c>
      <c r="H1089" s="1" t="s">
        <v>93</v>
      </c>
      <c r="I1089" s="1">
        <v>209935.0</v>
      </c>
      <c r="J1089" s="1"/>
      <c r="K1089" s="1"/>
      <c r="L1089" s="1"/>
      <c r="M1089" s="1" t="s">
        <v>4594</v>
      </c>
      <c r="N1089" s="1" t="s">
        <v>142</v>
      </c>
      <c r="O1089" s="1" t="s">
        <v>143</v>
      </c>
      <c r="P1089" s="2">
        <v>43794.5010763889</v>
      </c>
      <c r="Q1089" s="1" t="s">
        <v>74</v>
      </c>
      <c r="R1089" s="1"/>
      <c r="S1089" s="1"/>
      <c r="T1089" s="1">
        <v>1505650.0</v>
      </c>
      <c r="U1089" s="1" t="s">
        <v>4508</v>
      </c>
      <c r="V1089" s="1" t="s">
        <v>193</v>
      </c>
      <c r="W1089" s="1" t="s">
        <v>177</v>
      </c>
      <c r="X1089" s="1"/>
      <c r="Y1089" s="1"/>
      <c r="Z1089" s="1" t="s">
        <v>147</v>
      </c>
      <c r="AA1089" s="1" t="s">
        <v>4595</v>
      </c>
      <c r="AB1089" s="1" t="str">
        <f>"***946242**"</f>
        <v>***946242**</v>
      </c>
      <c r="AC1089" s="1"/>
      <c r="AD1089" s="1" t="s">
        <v>116</v>
      </c>
      <c r="AE1089" s="1"/>
      <c r="AF1089" s="1">
        <v>-54.564444</v>
      </c>
      <c r="AG1089" s="1">
        <v>-3.77</v>
      </c>
      <c r="AH1089" s="1" t="s">
        <v>4596</v>
      </c>
      <c r="AI1089" s="1"/>
      <c r="AJ1089" s="1" t="s">
        <v>172</v>
      </c>
      <c r="AK1089" s="1"/>
      <c r="AL1089" s="1"/>
      <c r="AM1089" s="1" t="s">
        <v>65</v>
      </c>
      <c r="AN1089" s="1" t="s">
        <v>2164</v>
      </c>
      <c r="AO1089" s="1"/>
      <c r="AP1089" s="2">
        <v>44215.6753125</v>
      </c>
      <c r="AQ1089" s="1"/>
      <c r="AR1089" s="1" t="s">
        <v>3150</v>
      </c>
      <c r="AS1089" s="1"/>
      <c r="AT1089" s="2">
        <v>44269.931099537</v>
      </c>
    </row>
    <row r="1090" ht="13.5" customHeight="1">
      <c r="A1090" s="1"/>
      <c r="B1090" s="1" t="s">
        <v>46</v>
      </c>
      <c r="C1090" s="1" t="s">
        <v>47</v>
      </c>
      <c r="D1090" s="1"/>
      <c r="E1090" s="1" t="s">
        <v>4597</v>
      </c>
      <c r="F1090" s="1"/>
      <c r="G1090" s="1" t="s">
        <v>49</v>
      </c>
      <c r="H1090" s="1" t="s">
        <v>50</v>
      </c>
      <c r="I1090" s="1">
        <v>10000.0</v>
      </c>
      <c r="J1090" s="1"/>
      <c r="K1090" s="1" t="s">
        <v>51</v>
      </c>
      <c r="L1090" s="1"/>
      <c r="M1090" s="1" t="s">
        <v>4598</v>
      </c>
      <c r="N1090" s="1" t="s">
        <v>72</v>
      </c>
      <c r="O1090" s="1" t="s">
        <v>1364</v>
      </c>
      <c r="P1090" s="2">
        <v>43794.4878240741</v>
      </c>
      <c r="Q1090" s="1" t="s">
        <v>373</v>
      </c>
      <c r="R1090" s="1"/>
      <c r="S1090" s="1"/>
      <c r="T1090" s="1">
        <v>2300200.0</v>
      </c>
      <c r="U1090" s="1" t="s">
        <v>1365</v>
      </c>
      <c r="V1090" s="1" t="s">
        <v>112</v>
      </c>
      <c r="W1090" s="1" t="s">
        <v>288</v>
      </c>
      <c r="X1090" s="1"/>
      <c r="Y1090" s="1"/>
      <c r="Z1090" s="1"/>
      <c r="AA1090" s="1" t="s">
        <v>4599</v>
      </c>
      <c r="AB1090" s="1" t="str">
        <f>"***347843**"</f>
        <v>***347843**</v>
      </c>
      <c r="AC1090" s="1"/>
      <c r="AD1090" s="1" t="s">
        <v>62</v>
      </c>
      <c r="AE1090" s="1"/>
      <c r="AF1090" s="1">
        <v>-40.084721</v>
      </c>
      <c r="AG1090" s="1">
        <v>-2.832778</v>
      </c>
      <c r="AH1090" s="1" t="s">
        <v>4600</v>
      </c>
      <c r="AI1090" s="1"/>
      <c r="AJ1090" s="1" t="s">
        <v>106</v>
      </c>
      <c r="AK1090" s="1"/>
      <c r="AL1090" s="1"/>
      <c r="AM1090" s="1" t="s">
        <v>65</v>
      </c>
      <c r="AN1090" s="1" t="s">
        <v>4358</v>
      </c>
      <c r="AO1090" s="1"/>
      <c r="AP1090" s="2">
        <v>44061.572650463</v>
      </c>
      <c r="AQ1090" s="1"/>
      <c r="AR1090" s="1" t="s">
        <v>4601</v>
      </c>
      <c r="AS1090" s="1" t="s">
        <v>4602</v>
      </c>
      <c r="AT1090" s="2">
        <v>44269.931099537</v>
      </c>
    </row>
    <row r="1091" ht="13.5" customHeight="1">
      <c r="A1091" s="1"/>
      <c r="B1091" s="1" t="s">
        <v>46</v>
      </c>
      <c r="C1091" s="1" t="s">
        <v>47</v>
      </c>
      <c r="D1091" s="1"/>
      <c r="E1091" s="1" t="s">
        <v>4603</v>
      </c>
      <c r="F1091" s="1"/>
      <c r="G1091" s="1" t="s">
        <v>49</v>
      </c>
      <c r="H1091" s="1" t="s">
        <v>50</v>
      </c>
      <c r="I1091" s="1">
        <v>2510500.0</v>
      </c>
      <c r="J1091" s="1"/>
      <c r="K1091" s="1" t="s">
        <v>140</v>
      </c>
      <c r="L1091" s="1"/>
      <c r="M1091" s="1" t="s">
        <v>4604</v>
      </c>
      <c r="N1091" s="1" t="s">
        <v>212</v>
      </c>
      <c r="O1091" s="1" t="s">
        <v>213</v>
      </c>
      <c r="P1091" s="2">
        <v>43794.4616319444</v>
      </c>
      <c r="Q1091" s="1" t="s">
        <v>74</v>
      </c>
      <c r="R1091" s="1"/>
      <c r="S1091" s="1"/>
      <c r="T1091" s="1">
        <v>3304557.0</v>
      </c>
      <c r="U1091" s="1" t="s">
        <v>286</v>
      </c>
      <c r="V1091" s="1" t="s">
        <v>287</v>
      </c>
      <c r="W1091" s="1" t="s">
        <v>288</v>
      </c>
      <c r="X1091" s="1"/>
      <c r="Y1091" s="1"/>
      <c r="Z1091" s="1" t="s">
        <v>215</v>
      </c>
      <c r="AA1091" s="1" t="s">
        <v>4605</v>
      </c>
      <c r="AB1091" s="1" t="str">
        <f>"33453598000123"</f>
        <v>33453598000123</v>
      </c>
      <c r="AC1091" s="1"/>
      <c r="AD1091" s="1" t="s">
        <v>149</v>
      </c>
      <c r="AE1091" s="1"/>
      <c r="AF1091" s="1">
        <v>-40.645836</v>
      </c>
      <c r="AG1091" s="1">
        <v>-22.639723</v>
      </c>
      <c r="AH1091" s="1" t="s">
        <v>4606</v>
      </c>
      <c r="AI1091" s="1"/>
      <c r="AJ1091" s="1" t="s">
        <v>172</v>
      </c>
      <c r="AK1091" s="1"/>
      <c r="AL1091" s="1"/>
      <c r="AM1091" s="1" t="s">
        <v>65</v>
      </c>
      <c r="AN1091" s="1" t="s">
        <v>720</v>
      </c>
      <c r="AO1091" s="1"/>
      <c r="AP1091" s="2">
        <v>44036.733912037</v>
      </c>
      <c r="AQ1091" s="1"/>
      <c r="AR1091" s="1" t="s">
        <v>721</v>
      </c>
      <c r="AS1091" s="1"/>
      <c r="AT1091" s="2">
        <v>44269.931099537</v>
      </c>
    </row>
    <row r="1092" ht="13.5" customHeight="1">
      <c r="A1092" s="1"/>
      <c r="B1092" s="1" t="s">
        <v>46</v>
      </c>
      <c r="C1092" s="1" t="s">
        <v>47</v>
      </c>
      <c r="D1092" s="1"/>
      <c r="E1092" s="1" t="s">
        <v>4607</v>
      </c>
      <c r="F1092" s="1"/>
      <c r="G1092" s="1" t="s">
        <v>49</v>
      </c>
      <c r="H1092" s="1" t="s">
        <v>93</v>
      </c>
      <c r="I1092" s="1">
        <v>259530.0</v>
      </c>
      <c r="J1092" s="1"/>
      <c r="K1092" s="1"/>
      <c r="L1092" s="1"/>
      <c r="M1092" s="1" t="s">
        <v>4608</v>
      </c>
      <c r="N1092" s="1" t="s">
        <v>142</v>
      </c>
      <c r="O1092" s="1" t="s">
        <v>143</v>
      </c>
      <c r="P1092" s="2">
        <v>43794.4615972222</v>
      </c>
      <c r="Q1092" s="1" t="s">
        <v>74</v>
      </c>
      <c r="R1092" s="3">
        <v>43795.0</v>
      </c>
      <c r="S1092" s="1"/>
      <c r="T1092" s="1">
        <v>1505650.0</v>
      </c>
      <c r="U1092" s="1" t="s">
        <v>4508</v>
      </c>
      <c r="V1092" s="1" t="s">
        <v>193</v>
      </c>
      <c r="W1092" s="1" t="s">
        <v>177</v>
      </c>
      <c r="X1092" s="1"/>
      <c r="Y1092" s="1"/>
      <c r="Z1092" s="1" t="s">
        <v>147</v>
      </c>
      <c r="AA1092" s="1" t="s">
        <v>4595</v>
      </c>
      <c r="AB1092" s="1" t="str">
        <f>"***946242**"</f>
        <v>***946242**</v>
      </c>
      <c r="AC1092" s="1"/>
      <c r="AD1092" s="1" t="s">
        <v>116</v>
      </c>
      <c r="AE1092" s="1"/>
      <c r="AF1092" s="1">
        <v>-54.565556</v>
      </c>
      <c r="AG1092" s="1">
        <v>-3.7675</v>
      </c>
      <c r="AH1092" s="1" t="s">
        <v>4609</v>
      </c>
      <c r="AI1092" s="1"/>
      <c r="AJ1092" s="1" t="s">
        <v>172</v>
      </c>
      <c r="AK1092" s="1"/>
      <c r="AL1092" s="1"/>
      <c r="AM1092" s="1" t="s">
        <v>65</v>
      </c>
      <c r="AN1092" s="1" t="s">
        <v>2164</v>
      </c>
      <c r="AO1092" s="1"/>
      <c r="AP1092" s="2">
        <v>44215.6757407407</v>
      </c>
      <c r="AQ1092" s="1"/>
      <c r="AR1092" s="1" t="s">
        <v>3150</v>
      </c>
      <c r="AS1092" s="1"/>
      <c r="AT1092" s="2">
        <v>44269.931099537</v>
      </c>
    </row>
    <row r="1093" ht="13.5" customHeight="1">
      <c r="A1093" s="1">
        <v>2034558.0</v>
      </c>
      <c r="B1093" s="1" t="s">
        <v>67</v>
      </c>
      <c r="C1093" s="1" t="s">
        <v>68</v>
      </c>
      <c r="D1093" s="1" t="s">
        <v>46</v>
      </c>
      <c r="E1093" s="1" t="s">
        <v>4610</v>
      </c>
      <c r="F1093" s="1"/>
      <c r="G1093" s="1" t="s">
        <v>70</v>
      </c>
      <c r="H1093" s="1" t="s">
        <v>50</v>
      </c>
      <c r="I1093" s="1">
        <v>65500.0</v>
      </c>
      <c r="J1093" s="1"/>
      <c r="K1093" s="1"/>
      <c r="L1093" s="1" t="s">
        <v>106</v>
      </c>
      <c r="M1093" s="1" t="s">
        <v>4611</v>
      </c>
      <c r="N1093" s="1" t="s">
        <v>95</v>
      </c>
      <c r="O1093" s="1" t="s">
        <v>96</v>
      </c>
      <c r="P1093" s="2">
        <v>43794.4583333333</v>
      </c>
      <c r="Q1093" s="1" t="s">
        <v>74</v>
      </c>
      <c r="R1093" s="3">
        <v>43793.0</v>
      </c>
      <c r="S1093" s="1"/>
      <c r="T1093" s="1">
        <v>2304400.0</v>
      </c>
      <c r="U1093" s="1" t="s">
        <v>111</v>
      </c>
      <c r="V1093" s="1" t="s">
        <v>112</v>
      </c>
      <c r="W1093" s="1" t="s">
        <v>113</v>
      </c>
      <c r="X1093" s="1"/>
      <c r="Y1093" s="1" t="str">
        <f>"02007003893201929"</f>
        <v>02007003893201929</v>
      </c>
      <c r="Z1093" s="1" t="s">
        <v>98</v>
      </c>
      <c r="AA1093" s="1" t="s">
        <v>4489</v>
      </c>
      <c r="AB1093" s="1" t="str">
        <f>"***580923**"</f>
        <v>***580923**</v>
      </c>
      <c r="AC1093" s="1"/>
      <c r="AD1093" s="1" t="s">
        <v>116</v>
      </c>
      <c r="AE1093" s="1"/>
      <c r="AF1093" s="1">
        <v>-38.686111</v>
      </c>
      <c r="AG1093" s="1">
        <v>-3.910278</v>
      </c>
      <c r="AH1093" s="1" t="s">
        <v>3803</v>
      </c>
      <c r="AI1093" s="1"/>
      <c r="AJ1093" s="1" t="s">
        <v>106</v>
      </c>
      <c r="AK1093" s="1"/>
      <c r="AL1093" s="1" t="s">
        <v>118</v>
      </c>
      <c r="AM1093" s="1" t="s">
        <v>65</v>
      </c>
      <c r="AN1093" s="1" t="s">
        <v>3804</v>
      </c>
      <c r="AO1093" s="2">
        <v>43888.0</v>
      </c>
      <c r="AP1093" s="2">
        <v>44075.847349537</v>
      </c>
      <c r="AQ1093" s="1" t="s">
        <v>80</v>
      </c>
      <c r="AR1093" s="1" t="s">
        <v>3822</v>
      </c>
      <c r="AS1093" s="1"/>
      <c r="AT1093" s="2">
        <v>44269.931099537</v>
      </c>
    </row>
    <row r="1094" ht="13.5" customHeight="1">
      <c r="A1094" s="1">
        <v>2039345.0</v>
      </c>
      <c r="B1094" s="1" t="s">
        <v>67</v>
      </c>
      <c r="C1094" s="1" t="s">
        <v>68</v>
      </c>
      <c r="D1094" s="1" t="s">
        <v>46</v>
      </c>
      <c r="E1094" s="1" t="s">
        <v>4612</v>
      </c>
      <c r="F1094" s="1"/>
      <c r="G1094" s="1" t="s">
        <v>70</v>
      </c>
      <c r="H1094" s="1" t="s">
        <v>93</v>
      </c>
      <c r="I1094" s="1">
        <v>10500.0</v>
      </c>
      <c r="J1094" s="1"/>
      <c r="K1094" s="1"/>
      <c r="L1094" s="1" t="s">
        <v>106</v>
      </c>
      <c r="M1094" s="1" t="s">
        <v>4613</v>
      </c>
      <c r="N1094" s="1" t="s">
        <v>72</v>
      </c>
      <c r="O1094" s="1" t="s">
        <v>213</v>
      </c>
      <c r="P1094" s="2">
        <v>43794.4583333333</v>
      </c>
      <c r="Q1094" s="1" t="s">
        <v>373</v>
      </c>
      <c r="R1094" s="3">
        <v>43794.0</v>
      </c>
      <c r="S1094" s="1"/>
      <c r="T1094" s="1">
        <v>2312403.0</v>
      </c>
      <c r="U1094" s="1" t="s">
        <v>1375</v>
      </c>
      <c r="V1094" s="1" t="s">
        <v>112</v>
      </c>
      <c r="W1094" s="1" t="s">
        <v>288</v>
      </c>
      <c r="X1094" s="1"/>
      <c r="Y1094" s="1" t="str">
        <f>"02007002638202001"</f>
        <v>02007002638202001</v>
      </c>
      <c r="Z1094" s="1" t="s">
        <v>215</v>
      </c>
      <c r="AA1094" s="1" t="s">
        <v>4614</v>
      </c>
      <c r="AB1094" s="1" t="str">
        <f>"09572788000185"</f>
        <v>09572788000185</v>
      </c>
      <c r="AC1094" s="1"/>
      <c r="AD1094" s="1"/>
      <c r="AE1094" s="1"/>
      <c r="AF1094" s="1">
        <v>-38.826389</v>
      </c>
      <c r="AG1094" s="1">
        <v>-3.663889</v>
      </c>
      <c r="AH1094" s="1" t="s">
        <v>4615</v>
      </c>
      <c r="AI1094" s="1"/>
      <c r="AJ1094" s="1" t="s">
        <v>106</v>
      </c>
      <c r="AK1094" s="1"/>
      <c r="AL1094" s="1" t="s">
        <v>79</v>
      </c>
      <c r="AM1094" s="1" t="s">
        <v>65</v>
      </c>
      <c r="AN1094" s="1" t="s">
        <v>4358</v>
      </c>
      <c r="AO1094" s="2">
        <v>44061.0</v>
      </c>
      <c r="AP1094" s="2">
        <v>44061.4496296296</v>
      </c>
      <c r="AQ1094" s="1" t="s">
        <v>80</v>
      </c>
      <c r="AR1094" s="1" t="s">
        <v>4616</v>
      </c>
      <c r="AS1094" s="1" t="s">
        <v>4617</v>
      </c>
      <c r="AT1094" s="2">
        <v>44269.931099537</v>
      </c>
    </row>
    <row r="1095" ht="13.5" customHeight="1">
      <c r="A1095" s="1"/>
      <c r="B1095" s="1" t="s">
        <v>46</v>
      </c>
      <c r="C1095" s="1" t="s">
        <v>47</v>
      </c>
      <c r="D1095" s="1"/>
      <c r="E1095" s="1" t="s">
        <v>4618</v>
      </c>
      <c r="F1095" s="1"/>
      <c r="G1095" s="1" t="s">
        <v>49</v>
      </c>
      <c r="H1095" s="1" t="s">
        <v>50</v>
      </c>
      <c r="I1095" s="1">
        <v>5102500.0</v>
      </c>
      <c r="J1095" s="1"/>
      <c r="K1095" s="1" t="s">
        <v>140</v>
      </c>
      <c r="L1095" s="1"/>
      <c r="M1095" s="1" t="s">
        <v>4619</v>
      </c>
      <c r="N1095" s="1" t="s">
        <v>212</v>
      </c>
      <c r="O1095" s="1" t="s">
        <v>213</v>
      </c>
      <c r="P1095" s="2">
        <v>43794.4452199074</v>
      </c>
      <c r="Q1095" s="1" t="s">
        <v>74</v>
      </c>
      <c r="R1095" s="1"/>
      <c r="S1095" s="1"/>
      <c r="T1095" s="1">
        <v>3304557.0</v>
      </c>
      <c r="U1095" s="1" t="s">
        <v>286</v>
      </c>
      <c r="V1095" s="1" t="s">
        <v>287</v>
      </c>
      <c r="W1095" s="1" t="s">
        <v>288</v>
      </c>
      <c r="X1095" s="1"/>
      <c r="Y1095" s="1"/>
      <c r="Z1095" s="1" t="s">
        <v>215</v>
      </c>
      <c r="AA1095" s="1" t="s">
        <v>4605</v>
      </c>
      <c r="AB1095" s="1" t="str">
        <f>"33453598000123"</f>
        <v>33453598000123</v>
      </c>
      <c r="AC1095" s="1"/>
      <c r="AD1095" s="1" t="s">
        <v>149</v>
      </c>
      <c r="AE1095" s="1"/>
      <c r="AF1095" s="1">
        <v>-40.645836</v>
      </c>
      <c r="AG1095" s="1">
        <v>-22.639723</v>
      </c>
      <c r="AH1095" s="1" t="s">
        <v>4606</v>
      </c>
      <c r="AI1095" s="1"/>
      <c r="AJ1095" s="1" t="s">
        <v>172</v>
      </c>
      <c r="AK1095" s="1"/>
      <c r="AL1095" s="1"/>
      <c r="AM1095" s="1" t="s">
        <v>65</v>
      </c>
      <c r="AN1095" s="1" t="s">
        <v>720</v>
      </c>
      <c r="AO1095" s="1"/>
      <c r="AP1095" s="2">
        <v>44036.7356712963</v>
      </c>
      <c r="AQ1095" s="1"/>
      <c r="AR1095" s="1" t="s">
        <v>4620</v>
      </c>
      <c r="AS1095" s="1"/>
      <c r="AT1095" s="2">
        <v>44269.931099537</v>
      </c>
    </row>
    <row r="1096" ht="13.5" customHeight="1">
      <c r="A1096" s="1">
        <v>2035838.0</v>
      </c>
      <c r="B1096" s="1" t="s">
        <v>67</v>
      </c>
      <c r="C1096" s="1" t="s">
        <v>68</v>
      </c>
      <c r="D1096" s="1" t="s">
        <v>46</v>
      </c>
      <c r="E1096" s="1" t="s">
        <v>4621</v>
      </c>
      <c r="F1096" s="1"/>
      <c r="G1096" s="1" t="s">
        <v>70</v>
      </c>
      <c r="H1096" s="1" t="s">
        <v>93</v>
      </c>
      <c r="I1096" s="1">
        <v>365000.0</v>
      </c>
      <c r="J1096" s="1"/>
      <c r="K1096" s="1"/>
      <c r="L1096" s="1" t="s">
        <v>196</v>
      </c>
      <c r="M1096" s="1" t="s">
        <v>4622</v>
      </c>
      <c r="N1096" s="1" t="s">
        <v>142</v>
      </c>
      <c r="O1096" s="1" t="s">
        <v>143</v>
      </c>
      <c r="P1096" s="2">
        <v>43794.4166666667</v>
      </c>
      <c r="Q1096" s="1" t="s">
        <v>373</v>
      </c>
      <c r="R1096" s="3">
        <v>43794.0</v>
      </c>
      <c r="S1096" s="1"/>
      <c r="T1096" s="1">
        <v>1505809.0</v>
      </c>
      <c r="U1096" s="1" t="s">
        <v>3084</v>
      </c>
      <c r="V1096" s="1" t="s">
        <v>193</v>
      </c>
      <c r="W1096" s="1" t="s">
        <v>177</v>
      </c>
      <c r="X1096" s="1"/>
      <c r="Y1096" s="1" t="str">
        <f>"02018001909202073"</f>
        <v>02018001909202073</v>
      </c>
      <c r="Z1096" s="1" t="s">
        <v>147</v>
      </c>
      <c r="AA1096" s="1" t="s">
        <v>4623</v>
      </c>
      <c r="AB1096" s="1" t="str">
        <f>"***537672**"</f>
        <v>***537672**</v>
      </c>
      <c r="AC1096" s="1"/>
      <c r="AD1096" s="1"/>
      <c r="AE1096" s="1"/>
      <c r="AF1096" s="1">
        <v>-50.39167</v>
      </c>
      <c r="AG1096" s="1">
        <v>-3.131667</v>
      </c>
      <c r="AH1096" s="1" t="s">
        <v>4624</v>
      </c>
      <c r="AI1096" s="1"/>
      <c r="AJ1096" s="1" t="s">
        <v>196</v>
      </c>
      <c r="AK1096" s="1"/>
      <c r="AL1096" s="1" t="s">
        <v>79</v>
      </c>
      <c r="AM1096" s="1" t="s">
        <v>65</v>
      </c>
      <c r="AN1096" s="1" t="s">
        <v>3087</v>
      </c>
      <c r="AO1096" s="2">
        <v>43920.0</v>
      </c>
      <c r="AP1096" s="2">
        <v>43920.7881481481</v>
      </c>
      <c r="AQ1096" s="1" t="s">
        <v>80</v>
      </c>
      <c r="AR1096" s="1" t="s">
        <v>650</v>
      </c>
      <c r="AS1096" s="1"/>
      <c r="AT1096" s="2">
        <v>44269.931099537</v>
      </c>
    </row>
    <row r="1097" ht="13.5" customHeight="1">
      <c r="A1097" s="1"/>
      <c r="B1097" s="1" t="s">
        <v>46</v>
      </c>
      <c r="C1097" s="1" t="s">
        <v>47</v>
      </c>
      <c r="D1097" s="1"/>
      <c r="E1097" s="1" t="s">
        <v>4625</v>
      </c>
      <c r="F1097" s="1"/>
      <c r="G1097" s="1" t="s">
        <v>49</v>
      </c>
      <c r="H1097" s="1" t="s">
        <v>93</v>
      </c>
      <c r="I1097" s="1">
        <v>203915.0</v>
      </c>
      <c r="J1097" s="1"/>
      <c r="K1097" s="1"/>
      <c r="L1097" s="1"/>
      <c r="M1097" s="1" t="s">
        <v>4626</v>
      </c>
      <c r="N1097" s="1" t="s">
        <v>142</v>
      </c>
      <c r="O1097" s="1" t="s">
        <v>143</v>
      </c>
      <c r="P1097" s="2">
        <v>43794.3411805556</v>
      </c>
      <c r="Q1097" s="1" t="s">
        <v>74</v>
      </c>
      <c r="R1097" s="3">
        <v>43799.0</v>
      </c>
      <c r="S1097" s="1"/>
      <c r="T1097" s="1">
        <v>1505650.0</v>
      </c>
      <c r="U1097" s="1" t="s">
        <v>4508</v>
      </c>
      <c r="V1097" s="1" t="s">
        <v>193</v>
      </c>
      <c r="W1097" s="1" t="s">
        <v>177</v>
      </c>
      <c r="X1097" s="1"/>
      <c r="Y1097" s="1"/>
      <c r="Z1097" s="1" t="s">
        <v>147</v>
      </c>
      <c r="AA1097" s="1" t="s">
        <v>4627</v>
      </c>
      <c r="AB1097" s="1" t="str">
        <f t="shared" ref="AB1097:AB1098" si="60">"***862851**"</f>
        <v>***862851**</v>
      </c>
      <c r="AC1097" s="1"/>
      <c r="AD1097" s="1" t="s">
        <v>116</v>
      </c>
      <c r="AE1097" s="1"/>
      <c r="AF1097" s="1">
        <v>-54.559167</v>
      </c>
      <c r="AG1097" s="1">
        <v>-3.798889</v>
      </c>
      <c r="AH1097" s="1" t="s">
        <v>4628</v>
      </c>
      <c r="AI1097" s="1"/>
      <c r="AJ1097" s="1" t="s">
        <v>172</v>
      </c>
      <c r="AK1097" s="1"/>
      <c r="AL1097" s="1"/>
      <c r="AM1097" s="1" t="s">
        <v>65</v>
      </c>
      <c r="AN1097" s="1" t="s">
        <v>2164</v>
      </c>
      <c r="AO1097" s="1"/>
      <c r="AP1097" s="2">
        <v>44215.676099537</v>
      </c>
      <c r="AQ1097" s="1"/>
      <c r="AR1097" s="1" t="s">
        <v>3150</v>
      </c>
      <c r="AS1097" s="1"/>
      <c r="AT1097" s="2">
        <v>44269.931099537</v>
      </c>
    </row>
    <row r="1098" ht="13.5" customHeight="1">
      <c r="A1098" s="1"/>
      <c r="B1098" s="1" t="s">
        <v>46</v>
      </c>
      <c r="C1098" s="1" t="s">
        <v>47</v>
      </c>
      <c r="D1098" s="1"/>
      <c r="E1098" s="1" t="s">
        <v>4629</v>
      </c>
      <c r="F1098" s="1"/>
      <c r="G1098" s="1" t="s">
        <v>49</v>
      </c>
      <c r="H1098" s="1" t="s">
        <v>93</v>
      </c>
      <c r="I1098" s="1">
        <v>275870.0</v>
      </c>
      <c r="J1098" s="1"/>
      <c r="K1098" s="1"/>
      <c r="L1098" s="1"/>
      <c r="M1098" s="1" t="s">
        <v>4630</v>
      </c>
      <c r="N1098" s="1" t="s">
        <v>142</v>
      </c>
      <c r="O1098" s="1" t="s">
        <v>143</v>
      </c>
      <c r="P1098" s="2">
        <v>43794.3142708333</v>
      </c>
      <c r="Q1098" s="1" t="s">
        <v>74</v>
      </c>
      <c r="R1098" s="3">
        <v>43799.0</v>
      </c>
      <c r="S1098" s="1"/>
      <c r="T1098" s="1">
        <v>5300108.0</v>
      </c>
      <c r="U1098" s="1" t="s">
        <v>1541</v>
      </c>
      <c r="V1098" s="1" t="s">
        <v>1542</v>
      </c>
      <c r="W1098" s="1" t="s">
        <v>177</v>
      </c>
      <c r="X1098" s="1"/>
      <c r="Y1098" s="1"/>
      <c r="Z1098" s="1" t="s">
        <v>147</v>
      </c>
      <c r="AA1098" s="1" t="s">
        <v>4627</v>
      </c>
      <c r="AB1098" s="1" t="str">
        <f t="shared" si="60"/>
        <v>***862851**</v>
      </c>
      <c r="AC1098" s="1"/>
      <c r="AD1098" s="1" t="s">
        <v>116</v>
      </c>
      <c r="AE1098" s="1"/>
      <c r="AF1098" s="1">
        <v>-54.543056</v>
      </c>
      <c r="AG1098" s="1">
        <v>-3.767778</v>
      </c>
      <c r="AH1098" s="1" t="s">
        <v>4631</v>
      </c>
      <c r="AI1098" s="1"/>
      <c r="AJ1098" s="1" t="s">
        <v>172</v>
      </c>
      <c r="AK1098" s="1"/>
      <c r="AL1098" s="1"/>
      <c r="AM1098" s="1" t="s">
        <v>65</v>
      </c>
      <c r="AN1098" s="1" t="s">
        <v>2164</v>
      </c>
      <c r="AO1098" s="1"/>
      <c r="AP1098" s="2">
        <v>44215.6762152778</v>
      </c>
      <c r="AQ1098" s="1"/>
      <c r="AR1098" s="1" t="s">
        <v>3150</v>
      </c>
      <c r="AS1098" s="1"/>
      <c r="AT1098" s="2">
        <v>44269.931099537</v>
      </c>
    </row>
    <row r="1099" ht="13.5" customHeight="1">
      <c r="A1099" s="1">
        <v>2039344.0</v>
      </c>
      <c r="B1099" s="1" t="s">
        <v>67</v>
      </c>
      <c r="C1099" s="1" t="s">
        <v>68</v>
      </c>
      <c r="D1099" s="1" t="s">
        <v>46</v>
      </c>
      <c r="E1099" s="1" t="s">
        <v>4632</v>
      </c>
      <c r="F1099" s="1"/>
      <c r="G1099" s="1" t="s">
        <v>70</v>
      </c>
      <c r="H1099" s="1" t="s">
        <v>93</v>
      </c>
      <c r="I1099" s="1">
        <v>10000.0</v>
      </c>
      <c r="J1099" s="1"/>
      <c r="K1099" s="1"/>
      <c r="L1099" s="1" t="s">
        <v>106</v>
      </c>
      <c r="M1099" s="1" t="s">
        <v>4633</v>
      </c>
      <c r="N1099" s="1" t="s">
        <v>4634</v>
      </c>
      <c r="O1099" s="1" t="s">
        <v>4635</v>
      </c>
      <c r="P1099" s="2">
        <v>43794.2916666667</v>
      </c>
      <c r="Q1099" s="1" t="s">
        <v>373</v>
      </c>
      <c r="R1099" s="3">
        <v>43794.0</v>
      </c>
      <c r="S1099" s="1"/>
      <c r="T1099" s="1">
        <v>2300200.0</v>
      </c>
      <c r="U1099" s="1" t="s">
        <v>1365</v>
      </c>
      <c r="V1099" s="1" t="s">
        <v>112</v>
      </c>
      <c r="W1099" s="1" t="s">
        <v>288</v>
      </c>
      <c r="X1099" s="1"/>
      <c r="Y1099" s="1" t="str">
        <f>"02007002637202058"</f>
        <v>02007002637202058</v>
      </c>
      <c r="Z1099" s="1" t="s">
        <v>4636</v>
      </c>
      <c r="AA1099" s="1" t="s">
        <v>4637</v>
      </c>
      <c r="AB1099" s="1" t="str">
        <f>"***651853**"</f>
        <v>***651853**</v>
      </c>
      <c r="AC1099" s="1"/>
      <c r="AD1099" s="1"/>
      <c r="AE1099" s="1"/>
      <c r="AF1099" s="1">
        <v>-40.085831</v>
      </c>
      <c r="AG1099" s="1">
        <v>-2.819167</v>
      </c>
      <c r="AH1099" s="1" t="s">
        <v>4638</v>
      </c>
      <c r="AI1099" s="1"/>
      <c r="AJ1099" s="1" t="s">
        <v>106</v>
      </c>
      <c r="AK1099" s="1"/>
      <c r="AL1099" s="1" t="s">
        <v>79</v>
      </c>
      <c r="AM1099" s="1" t="s">
        <v>65</v>
      </c>
      <c r="AN1099" s="1" t="s">
        <v>4358</v>
      </c>
      <c r="AO1099" s="2">
        <v>44061.0</v>
      </c>
      <c r="AP1099" s="2">
        <v>44061.4490509259</v>
      </c>
      <c r="AQ1099" s="1" t="s">
        <v>80</v>
      </c>
      <c r="AR1099" s="1" t="s">
        <v>4639</v>
      </c>
      <c r="AS1099" s="1" t="s">
        <v>4640</v>
      </c>
      <c r="AT1099" s="2">
        <v>44269.931099537</v>
      </c>
    </row>
    <row r="1100" ht="13.5" customHeight="1">
      <c r="A1100" s="1"/>
      <c r="B1100" s="1" t="s">
        <v>46</v>
      </c>
      <c r="C1100" s="1" t="s">
        <v>47</v>
      </c>
      <c r="D1100" s="1"/>
      <c r="E1100" s="1" t="s">
        <v>4641</v>
      </c>
      <c r="F1100" s="1"/>
      <c r="G1100" s="1" t="s">
        <v>49</v>
      </c>
      <c r="H1100" s="1" t="s">
        <v>93</v>
      </c>
      <c r="I1100" s="1">
        <v>103820.0</v>
      </c>
      <c r="J1100" s="1"/>
      <c r="K1100" s="1"/>
      <c r="L1100" s="1"/>
      <c r="M1100" s="1" t="s">
        <v>4642</v>
      </c>
      <c r="N1100" s="1" t="s">
        <v>142</v>
      </c>
      <c r="O1100" s="1" t="s">
        <v>143</v>
      </c>
      <c r="P1100" s="2">
        <v>43794.2737037037</v>
      </c>
      <c r="Q1100" s="1" t="s">
        <v>74</v>
      </c>
      <c r="R1100" s="1"/>
      <c r="S1100" s="1"/>
      <c r="T1100" s="1">
        <v>1505650.0</v>
      </c>
      <c r="U1100" s="1" t="s">
        <v>4508</v>
      </c>
      <c r="V1100" s="1" t="s">
        <v>193</v>
      </c>
      <c r="W1100" s="1" t="s">
        <v>177</v>
      </c>
      <c r="X1100" s="1"/>
      <c r="Y1100" s="1"/>
      <c r="Z1100" s="1" t="s">
        <v>147</v>
      </c>
      <c r="AA1100" s="1" t="s">
        <v>4643</v>
      </c>
      <c r="AB1100" s="1" t="str">
        <f>"***658502**"</f>
        <v>***658502**</v>
      </c>
      <c r="AC1100" s="1"/>
      <c r="AD1100" s="1" t="s">
        <v>116</v>
      </c>
      <c r="AE1100" s="1"/>
      <c r="AF1100" s="1">
        <v>-54.526667</v>
      </c>
      <c r="AG1100" s="1">
        <v>-3.765278</v>
      </c>
      <c r="AH1100" s="1" t="s">
        <v>4644</v>
      </c>
      <c r="AI1100" s="1"/>
      <c r="AJ1100" s="1" t="s">
        <v>172</v>
      </c>
      <c r="AK1100" s="1"/>
      <c r="AL1100" s="1"/>
      <c r="AM1100" s="1" t="s">
        <v>65</v>
      </c>
      <c r="AN1100" s="1" t="s">
        <v>2164</v>
      </c>
      <c r="AO1100" s="1"/>
      <c r="AP1100" s="2">
        <v>44215.6765625</v>
      </c>
      <c r="AQ1100" s="1"/>
      <c r="AR1100" s="1" t="s">
        <v>3150</v>
      </c>
      <c r="AS1100" s="1"/>
      <c r="AT1100" s="2">
        <v>44269.931099537</v>
      </c>
    </row>
    <row r="1101" ht="13.5" customHeight="1">
      <c r="A1101" s="1">
        <v>2035841.0</v>
      </c>
      <c r="B1101" s="1" t="s">
        <v>67</v>
      </c>
      <c r="C1101" s="1" t="s">
        <v>68</v>
      </c>
      <c r="D1101" s="1" t="s">
        <v>46</v>
      </c>
      <c r="E1101" s="1" t="s">
        <v>4645</v>
      </c>
      <c r="F1101" s="1"/>
      <c r="G1101" s="1" t="s">
        <v>70</v>
      </c>
      <c r="H1101" s="1" t="s">
        <v>93</v>
      </c>
      <c r="I1101" s="1">
        <v>16500.0</v>
      </c>
      <c r="J1101" s="1"/>
      <c r="K1101" s="1"/>
      <c r="L1101" s="1" t="s">
        <v>196</v>
      </c>
      <c r="M1101" s="1" t="s">
        <v>4646</v>
      </c>
      <c r="N1101" s="1" t="s">
        <v>95</v>
      </c>
      <c r="O1101" s="1" t="s">
        <v>96</v>
      </c>
      <c r="P1101" s="2">
        <v>43793.9166666667</v>
      </c>
      <c r="Q1101" s="1" t="s">
        <v>74</v>
      </c>
      <c r="R1101" s="3">
        <v>43794.0</v>
      </c>
      <c r="S1101" s="1"/>
      <c r="T1101" s="1">
        <v>1505809.0</v>
      </c>
      <c r="U1101" s="1" t="s">
        <v>3084</v>
      </c>
      <c r="V1101" s="1" t="s">
        <v>193</v>
      </c>
      <c r="W1101" s="1" t="s">
        <v>177</v>
      </c>
      <c r="X1101" s="1"/>
      <c r="Y1101" s="1" t="str">
        <f>"02018001912202097"</f>
        <v>02018001912202097</v>
      </c>
      <c r="Z1101" s="1" t="s">
        <v>98</v>
      </c>
      <c r="AA1101" s="1" t="s">
        <v>4524</v>
      </c>
      <c r="AB1101" s="1" t="str">
        <f>"***437482**"</f>
        <v>***437482**</v>
      </c>
      <c r="AC1101" s="1"/>
      <c r="AD1101" s="1"/>
      <c r="AE1101" s="1"/>
      <c r="AF1101" s="1">
        <v>-50.665279</v>
      </c>
      <c r="AG1101" s="1">
        <v>-3.338055</v>
      </c>
      <c r="AH1101" s="1" t="s">
        <v>4647</v>
      </c>
      <c r="AI1101" s="1"/>
      <c r="AJ1101" s="1" t="s">
        <v>196</v>
      </c>
      <c r="AK1101" s="1"/>
      <c r="AL1101" s="1" t="s">
        <v>79</v>
      </c>
      <c r="AM1101" s="1" t="s">
        <v>65</v>
      </c>
      <c r="AN1101" s="1" t="s">
        <v>3087</v>
      </c>
      <c r="AO1101" s="2">
        <v>43920.0</v>
      </c>
      <c r="AP1101" s="2">
        <v>43920.789375</v>
      </c>
      <c r="AQ1101" s="1" t="s">
        <v>80</v>
      </c>
      <c r="AR1101" s="1" t="s">
        <v>254</v>
      </c>
      <c r="AS1101" s="1"/>
      <c r="AT1101" s="2">
        <v>44269.931099537</v>
      </c>
    </row>
    <row r="1102" ht="13.5" customHeight="1">
      <c r="A1102" s="1">
        <v>2035274.0</v>
      </c>
      <c r="B1102" s="1" t="s">
        <v>67</v>
      </c>
      <c r="C1102" s="1" t="s">
        <v>68</v>
      </c>
      <c r="D1102" s="1" t="s">
        <v>46</v>
      </c>
      <c r="E1102" s="1" t="s">
        <v>4648</v>
      </c>
      <c r="F1102" s="1"/>
      <c r="G1102" s="1" t="s">
        <v>70</v>
      </c>
      <c r="H1102" s="1" t="s">
        <v>93</v>
      </c>
      <c r="I1102" s="1">
        <v>100000.0</v>
      </c>
      <c r="J1102" s="1"/>
      <c r="K1102" s="1"/>
      <c r="L1102" s="1" t="s">
        <v>196</v>
      </c>
      <c r="M1102" s="1" t="s">
        <v>4649</v>
      </c>
      <c r="N1102" s="1" t="s">
        <v>142</v>
      </c>
      <c r="O1102" s="1" t="s">
        <v>143</v>
      </c>
      <c r="P1102" s="2">
        <v>43793.7916666667</v>
      </c>
      <c r="Q1102" s="1" t="s">
        <v>74</v>
      </c>
      <c r="R1102" s="3">
        <v>43801.0</v>
      </c>
      <c r="S1102" s="1"/>
      <c r="T1102" s="1">
        <v>1505809.0</v>
      </c>
      <c r="U1102" s="1" t="s">
        <v>3084</v>
      </c>
      <c r="V1102" s="1" t="s">
        <v>193</v>
      </c>
      <c r="W1102" s="1" t="s">
        <v>177</v>
      </c>
      <c r="X1102" s="1"/>
      <c r="Y1102" s="1" t="str">
        <f>"02018001504202035"</f>
        <v>02018001504202035</v>
      </c>
      <c r="Z1102" s="1" t="s">
        <v>147</v>
      </c>
      <c r="AA1102" s="1" t="s">
        <v>3291</v>
      </c>
      <c r="AB1102" s="1" t="str">
        <f>"***786042**"</f>
        <v>***786042**</v>
      </c>
      <c r="AC1102" s="1"/>
      <c r="AD1102" s="1"/>
      <c r="AE1102" s="1"/>
      <c r="AF1102" s="1">
        <v>-50.654724</v>
      </c>
      <c r="AG1102" s="1">
        <v>-3.3375</v>
      </c>
      <c r="AH1102" s="1" t="s">
        <v>4650</v>
      </c>
      <c r="AI1102" s="1"/>
      <c r="AJ1102" s="1" t="s">
        <v>196</v>
      </c>
      <c r="AK1102" s="1"/>
      <c r="AL1102" s="1" t="s">
        <v>79</v>
      </c>
      <c r="AM1102" s="1" t="s">
        <v>65</v>
      </c>
      <c r="AN1102" s="1" t="s">
        <v>3087</v>
      </c>
      <c r="AO1102" s="2">
        <v>43899.0</v>
      </c>
      <c r="AP1102" s="2">
        <v>43899.7123842593</v>
      </c>
      <c r="AQ1102" s="1" t="s">
        <v>80</v>
      </c>
      <c r="AR1102" s="1" t="s">
        <v>650</v>
      </c>
      <c r="AS1102" s="1"/>
      <c r="AT1102" s="2">
        <v>44269.931099537</v>
      </c>
    </row>
    <row r="1103" ht="13.5" customHeight="1">
      <c r="A1103" s="1">
        <v>2037140.0</v>
      </c>
      <c r="B1103" s="1" t="s">
        <v>67</v>
      </c>
      <c r="C1103" s="1" t="s">
        <v>68</v>
      </c>
      <c r="D1103" s="1" t="s">
        <v>46</v>
      </c>
      <c r="E1103" s="1" t="s">
        <v>4651</v>
      </c>
      <c r="F1103" s="1"/>
      <c r="G1103" s="1" t="s">
        <v>70</v>
      </c>
      <c r="H1103" s="1" t="s">
        <v>50</v>
      </c>
      <c r="I1103" s="1">
        <v>195000.0</v>
      </c>
      <c r="J1103" s="1"/>
      <c r="K1103" s="1"/>
      <c r="L1103" s="1" t="s">
        <v>800</v>
      </c>
      <c r="M1103" s="1" t="s">
        <v>4652</v>
      </c>
      <c r="N1103" s="1" t="s">
        <v>142</v>
      </c>
      <c r="O1103" s="1" t="s">
        <v>143</v>
      </c>
      <c r="P1103" s="2">
        <v>43793.2916666667</v>
      </c>
      <c r="Q1103" s="1" t="s">
        <v>373</v>
      </c>
      <c r="R1103" s="3">
        <v>43793.0</v>
      </c>
      <c r="S1103" s="1"/>
      <c r="T1103" s="1">
        <v>1600303.0</v>
      </c>
      <c r="U1103" s="1" t="s">
        <v>796</v>
      </c>
      <c r="V1103" s="1" t="s">
        <v>797</v>
      </c>
      <c r="W1103" s="1" t="s">
        <v>177</v>
      </c>
      <c r="X1103" s="1"/>
      <c r="Y1103" s="1" t="str">
        <f>"02004000685202031"</f>
        <v>02004000685202031</v>
      </c>
      <c r="Z1103" s="1" t="s">
        <v>147</v>
      </c>
      <c r="AA1103" s="1" t="s">
        <v>4653</v>
      </c>
      <c r="AB1103" s="1" t="str">
        <f>"26446792000116"</f>
        <v>26446792000116</v>
      </c>
      <c r="AC1103" s="1"/>
      <c r="AD1103" s="1"/>
      <c r="AE1103" s="1"/>
      <c r="AF1103" s="1">
        <v>-50.901112</v>
      </c>
      <c r="AG1103" s="1">
        <v>0.509167</v>
      </c>
      <c r="AH1103" s="1" t="s">
        <v>4654</v>
      </c>
      <c r="AI1103" s="1"/>
      <c r="AJ1103" s="1" t="s">
        <v>800</v>
      </c>
      <c r="AK1103" s="1"/>
      <c r="AL1103" s="1" t="s">
        <v>79</v>
      </c>
      <c r="AM1103" s="1" t="s">
        <v>65</v>
      </c>
      <c r="AN1103" s="1" t="s">
        <v>1008</v>
      </c>
      <c r="AO1103" s="2">
        <v>43985.0</v>
      </c>
      <c r="AP1103" s="2">
        <v>43985.874375</v>
      </c>
      <c r="AQ1103" s="1" t="s">
        <v>80</v>
      </c>
      <c r="AR1103" s="1" t="s">
        <v>421</v>
      </c>
      <c r="AS1103" s="1" t="s">
        <v>1106</v>
      </c>
      <c r="AT1103" s="2">
        <v>44269.931099537</v>
      </c>
    </row>
    <row r="1104" ht="13.5" customHeight="1">
      <c r="A1104" s="1"/>
      <c r="B1104" s="1" t="s">
        <v>46</v>
      </c>
      <c r="C1104" s="1" t="s">
        <v>47</v>
      </c>
      <c r="D1104" s="1"/>
      <c r="E1104" s="1" t="s">
        <v>4655</v>
      </c>
      <c r="F1104" s="1"/>
      <c r="G1104" s="1" t="s">
        <v>49</v>
      </c>
      <c r="H1104" s="1" t="s">
        <v>93</v>
      </c>
      <c r="I1104" s="1">
        <v>10000.0</v>
      </c>
      <c r="J1104" s="1"/>
      <c r="K1104" s="1"/>
      <c r="L1104" s="1"/>
      <c r="M1104" s="1" t="s">
        <v>4656</v>
      </c>
      <c r="N1104" s="1" t="s">
        <v>72</v>
      </c>
      <c r="O1104" s="1" t="s">
        <v>1364</v>
      </c>
      <c r="P1104" s="2">
        <v>43792.8016435185</v>
      </c>
      <c r="Q1104" s="1" t="s">
        <v>74</v>
      </c>
      <c r="R1104" s="3">
        <v>43851.0</v>
      </c>
      <c r="S1104" s="1"/>
      <c r="T1104" s="1">
        <v>2313807.0</v>
      </c>
      <c r="U1104" s="1" t="s">
        <v>4657</v>
      </c>
      <c r="V1104" s="1" t="s">
        <v>112</v>
      </c>
      <c r="W1104" s="1" t="s">
        <v>59</v>
      </c>
      <c r="X1104" s="1"/>
      <c r="Y1104" s="1"/>
      <c r="Z1104" s="1"/>
      <c r="AA1104" s="1" t="s">
        <v>4658</v>
      </c>
      <c r="AB1104" s="1" t="str">
        <f>"***891203**"</f>
        <v>***891203**</v>
      </c>
      <c r="AC1104" s="1"/>
      <c r="AD1104" s="1" t="s">
        <v>62</v>
      </c>
      <c r="AE1104" s="1"/>
      <c r="AF1104" s="1">
        <v>-39.540833</v>
      </c>
      <c r="AG1104" s="1">
        <v>-3.608333</v>
      </c>
      <c r="AH1104" s="1" t="s">
        <v>4659</v>
      </c>
      <c r="AI1104" s="1"/>
      <c r="AJ1104" s="1" t="s">
        <v>106</v>
      </c>
      <c r="AK1104" s="1"/>
      <c r="AL1104" s="1"/>
      <c r="AM1104" s="1" t="s">
        <v>65</v>
      </c>
      <c r="AN1104" s="1" t="s">
        <v>4660</v>
      </c>
      <c r="AO1104" s="1"/>
      <c r="AP1104" s="2">
        <v>43792.8130092593</v>
      </c>
      <c r="AQ1104" s="1"/>
      <c r="AR1104" s="1" t="s">
        <v>169</v>
      </c>
      <c r="AS1104" s="1" t="s">
        <v>4661</v>
      </c>
      <c r="AT1104" s="2">
        <v>44269.931099537</v>
      </c>
    </row>
    <row r="1105" ht="13.5" customHeight="1">
      <c r="A1105" s="1">
        <v>2034791.0</v>
      </c>
      <c r="B1105" s="1" t="s">
        <v>67</v>
      </c>
      <c r="C1105" s="1" t="s">
        <v>68</v>
      </c>
      <c r="D1105" s="1" t="s">
        <v>46</v>
      </c>
      <c r="E1105" s="1" t="s">
        <v>4662</v>
      </c>
      <c r="F1105" s="1"/>
      <c r="G1105" s="1" t="s">
        <v>70</v>
      </c>
      <c r="H1105" s="1" t="s">
        <v>93</v>
      </c>
      <c r="I1105" s="1">
        <v>5000.0</v>
      </c>
      <c r="J1105" s="1"/>
      <c r="K1105" s="1"/>
      <c r="L1105" s="1" t="s">
        <v>106</v>
      </c>
      <c r="M1105" s="1" t="s">
        <v>4663</v>
      </c>
      <c r="N1105" s="1" t="s">
        <v>142</v>
      </c>
      <c r="O1105" s="1" t="s">
        <v>143</v>
      </c>
      <c r="P1105" s="2">
        <v>43792.6666666667</v>
      </c>
      <c r="Q1105" s="1" t="s">
        <v>74</v>
      </c>
      <c r="R1105" s="3">
        <v>43792.0</v>
      </c>
      <c r="S1105" s="1"/>
      <c r="T1105" s="1">
        <v>2306405.0</v>
      </c>
      <c r="U1105" s="1" t="s">
        <v>3333</v>
      </c>
      <c r="V1105" s="1" t="s">
        <v>112</v>
      </c>
      <c r="W1105" s="1" t="s">
        <v>59</v>
      </c>
      <c r="X1105" s="1"/>
      <c r="Y1105" s="1" t="str">
        <f>"02007000801202092"</f>
        <v>02007000801202092</v>
      </c>
      <c r="Z1105" s="1" t="s">
        <v>147</v>
      </c>
      <c r="AA1105" s="1" t="s">
        <v>4664</v>
      </c>
      <c r="AB1105" s="1" t="str">
        <f>"***762543**"</f>
        <v>***762543**</v>
      </c>
      <c r="AC1105" s="1"/>
      <c r="AD1105" s="1"/>
      <c r="AE1105" s="1"/>
      <c r="AF1105" s="1">
        <v>-39.57222</v>
      </c>
      <c r="AG1105" s="1">
        <v>-3.570833</v>
      </c>
      <c r="AH1105" s="1" t="s">
        <v>4665</v>
      </c>
      <c r="AI1105" s="1"/>
      <c r="AJ1105" s="1" t="s">
        <v>106</v>
      </c>
      <c r="AK1105" s="1"/>
      <c r="AL1105" s="1" t="s">
        <v>79</v>
      </c>
      <c r="AM1105" s="1" t="s">
        <v>65</v>
      </c>
      <c r="AN1105" s="1" t="s">
        <v>4660</v>
      </c>
      <c r="AO1105" s="2">
        <v>43892.0</v>
      </c>
      <c r="AP1105" s="2">
        <v>43892.3970138889</v>
      </c>
      <c r="AQ1105" s="1" t="s">
        <v>80</v>
      </c>
      <c r="AR1105" s="1" t="s">
        <v>656</v>
      </c>
      <c r="AS1105" s="1" t="s">
        <v>4666</v>
      </c>
      <c r="AT1105" s="2">
        <v>44269.931099537</v>
      </c>
    </row>
    <row r="1106" ht="13.5" customHeight="1">
      <c r="A1106" s="1">
        <v>2039343.0</v>
      </c>
      <c r="B1106" s="1" t="s">
        <v>67</v>
      </c>
      <c r="C1106" s="1" t="s">
        <v>68</v>
      </c>
      <c r="D1106" s="1" t="s">
        <v>46</v>
      </c>
      <c r="E1106" s="1" t="s">
        <v>4667</v>
      </c>
      <c r="F1106" s="1"/>
      <c r="G1106" s="1" t="s">
        <v>70</v>
      </c>
      <c r="H1106" s="1" t="s">
        <v>93</v>
      </c>
      <c r="I1106" s="1">
        <v>10000.0</v>
      </c>
      <c r="J1106" s="1"/>
      <c r="K1106" s="1"/>
      <c r="L1106" s="1" t="s">
        <v>106</v>
      </c>
      <c r="M1106" s="1" t="s">
        <v>4668</v>
      </c>
      <c r="N1106" s="1" t="s">
        <v>142</v>
      </c>
      <c r="O1106" s="1" t="s">
        <v>143</v>
      </c>
      <c r="P1106" s="2">
        <v>43792.6666666667</v>
      </c>
      <c r="Q1106" s="1" t="s">
        <v>74</v>
      </c>
      <c r="R1106" s="1"/>
      <c r="S1106" s="1"/>
      <c r="T1106" s="1">
        <v>2306405.0</v>
      </c>
      <c r="U1106" s="1" t="s">
        <v>3333</v>
      </c>
      <c r="V1106" s="1" t="s">
        <v>112</v>
      </c>
      <c r="W1106" s="1" t="s">
        <v>59</v>
      </c>
      <c r="X1106" s="1"/>
      <c r="Y1106" s="1" t="str">
        <f>"02007002636202011"</f>
        <v>02007002636202011</v>
      </c>
      <c r="Z1106" s="1" t="s">
        <v>147</v>
      </c>
      <c r="AA1106" s="1" t="s">
        <v>4669</v>
      </c>
      <c r="AB1106" s="1" t="str">
        <f>"***575623**"</f>
        <v>***575623**</v>
      </c>
      <c r="AC1106" s="1"/>
      <c r="AD1106" s="1"/>
      <c r="AE1106" s="1"/>
      <c r="AF1106" s="1">
        <v>-39.57972</v>
      </c>
      <c r="AG1106" s="1">
        <v>-3.580833</v>
      </c>
      <c r="AH1106" s="1" t="s">
        <v>4670</v>
      </c>
      <c r="AI1106" s="1"/>
      <c r="AJ1106" s="1" t="s">
        <v>106</v>
      </c>
      <c r="AK1106" s="1"/>
      <c r="AL1106" s="1" t="s">
        <v>79</v>
      </c>
      <c r="AM1106" s="1" t="s">
        <v>65</v>
      </c>
      <c r="AN1106" s="1" t="s">
        <v>4660</v>
      </c>
      <c r="AO1106" s="2">
        <v>44061.0</v>
      </c>
      <c r="AP1106" s="2">
        <v>44061.4486574074</v>
      </c>
      <c r="AQ1106" s="1" t="s">
        <v>80</v>
      </c>
      <c r="AR1106" s="1" t="s">
        <v>656</v>
      </c>
      <c r="AS1106" s="1" t="s">
        <v>4666</v>
      </c>
      <c r="AT1106" s="2">
        <v>44269.931099537</v>
      </c>
    </row>
    <row r="1107" ht="13.5" customHeight="1">
      <c r="A1107" s="1">
        <v>2034454.0</v>
      </c>
      <c r="B1107" s="1" t="s">
        <v>67</v>
      </c>
      <c r="C1107" s="1" t="s">
        <v>68</v>
      </c>
      <c r="D1107" s="1" t="s">
        <v>46</v>
      </c>
      <c r="E1107" s="1" t="s">
        <v>4671</v>
      </c>
      <c r="F1107" s="1"/>
      <c r="G1107" s="1" t="s">
        <v>70</v>
      </c>
      <c r="H1107" s="1" t="s">
        <v>93</v>
      </c>
      <c r="I1107" s="1">
        <v>9000.0</v>
      </c>
      <c r="J1107" s="1"/>
      <c r="K1107" s="1"/>
      <c r="L1107" s="1" t="s">
        <v>106</v>
      </c>
      <c r="M1107" s="1" t="s">
        <v>4672</v>
      </c>
      <c r="N1107" s="1" t="s">
        <v>142</v>
      </c>
      <c r="O1107" s="1" t="s">
        <v>143</v>
      </c>
      <c r="P1107" s="2">
        <v>43792.6590277778</v>
      </c>
      <c r="Q1107" s="1" t="s">
        <v>373</v>
      </c>
      <c r="R1107" s="1"/>
      <c r="S1107" s="1" t="s">
        <v>110</v>
      </c>
      <c r="T1107" s="1">
        <v>2313500.0</v>
      </c>
      <c r="U1107" s="1" t="s">
        <v>4673</v>
      </c>
      <c r="V1107" s="1" t="s">
        <v>112</v>
      </c>
      <c r="W1107" s="1" t="s">
        <v>113</v>
      </c>
      <c r="X1107" s="1"/>
      <c r="Y1107" s="1" t="str">
        <f>"02007000302202003"</f>
        <v>02007000302202003</v>
      </c>
      <c r="Z1107" s="1" t="s">
        <v>1178</v>
      </c>
      <c r="AA1107" s="1" t="s">
        <v>4674</v>
      </c>
      <c r="AB1107" s="1" t="str">
        <f>"17528181000126"</f>
        <v>17528181000126</v>
      </c>
      <c r="AC1107" s="1"/>
      <c r="AD1107" s="1" t="s">
        <v>116</v>
      </c>
      <c r="AE1107" s="1"/>
      <c r="AF1107" s="1">
        <v>0.0</v>
      </c>
      <c r="AG1107" s="1">
        <v>0.0</v>
      </c>
      <c r="AH1107" s="1" t="s">
        <v>4675</v>
      </c>
      <c r="AI1107" s="1"/>
      <c r="AJ1107" s="1"/>
      <c r="AK1107" s="1"/>
      <c r="AL1107" s="1" t="s">
        <v>118</v>
      </c>
      <c r="AM1107" s="1"/>
      <c r="AN1107" s="1"/>
      <c r="AO1107" s="2">
        <v>43871.4620486111</v>
      </c>
      <c r="AP1107" s="2">
        <v>43871.4620486111</v>
      </c>
      <c r="AQ1107" s="1" t="s">
        <v>80</v>
      </c>
      <c r="AR1107" s="1" t="s">
        <v>4676</v>
      </c>
      <c r="AS1107" s="1" t="s">
        <v>4677</v>
      </c>
      <c r="AT1107" s="2">
        <v>44269.931099537</v>
      </c>
    </row>
    <row r="1108" ht="13.5" customHeight="1">
      <c r="A1108" s="1">
        <v>2035398.0</v>
      </c>
      <c r="B1108" s="1" t="s">
        <v>67</v>
      </c>
      <c r="C1108" s="1" t="s">
        <v>68</v>
      </c>
      <c r="D1108" s="1" t="s">
        <v>46</v>
      </c>
      <c r="E1108" s="1" t="s">
        <v>4678</v>
      </c>
      <c r="F1108" s="1"/>
      <c r="G1108" s="1" t="s">
        <v>70</v>
      </c>
      <c r="H1108" s="1" t="s">
        <v>93</v>
      </c>
      <c r="I1108" s="1">
        <v>5000.0</v>
      </c>
      <c r="J1108" s="1"/>
      <c r="K1108" s="1"/>
      <c r="L1108" s="1" t="s">
        <v>106</v>
      </c>
      <c r="M1108" s="1" t="s">
        <v>4679</v>
      </c>
      <c r="N1108" s="1" t="s">
        <v>142</v>
      </c>
      <c r="O1108" s="1"/>
      <c r="P1108" s="2">
        <v>43792.6416666667</v>
      </c>
      <c r="Q1108" s="1" t="s">
        <v>74</v>
      </c>
      <c r="R1108" s="1"/>
      <c r="S1108" s="1"/>
      <c r="T1108" s="1">
        <v>2306405.0</v>
      </c>
      <c r="U1108" s="1" t="s">
        <v>3333</v>
      </c>
      <c r="V1108" s="1" t="s">
        <v>112</v>
      </c>
      <c r="W1108" s="1" t="s">
        <v>113</v>
      </c>
      <c r="X1108" s="1"/>
      <c r="Y1108" s="1" t="str">
        <f>"02007000801202092"</f>
        <v>02007000801202092</v>
      </c>
      <c r="Z1108" s="1" t="s">
        <v>4680</v>
      </c>
      <c r="AA1108" s="1" t="s">
        <v>4664</v>
      </c>
      <c r="AB1108" s="1" t="str">
        <f>"***762543**"</f>
        <v>***762543**</v>
      </c>
      <c r="AC1108" s="1"/>
      <c r="AD1108" s="1" t="s">
        <v>116</v>
      </c>
      <c r="AE1108" s="1"/>
      <c r="AF1108" s="1">
        <v>0.0</v>
      </c>
      <c r="AG1108" s="1">
        <v>0.0</v>
      </c>
      <c r="AH1108" s="1" t="s">
        <v>4681</v>
      </c>
      <c r="AI1108" s="1"/>
      <c r="AJ1108" s="1"/>
      <c r="AK1108" s="1"/>
      <c r="AL1108" s="1" t="s">
        <v>118</v>
      </c>
      <c r="AM1108" s="1"/>
      <c r="AN1108" s="1"/>
      <c r="AO1108" s="2">
        <v>43902.4428009259</v>
      </c>
      <c r="AP1108" s="2">
        <v>43902.4428125</v>
      </c>
      <c r="AQ1108" s="1" t="s">
        <v>80</v>
      </c>
      <c r="AR1108" s="1" t="s">
        <v>4682</v>
      </c>
      <c r="AS1108" s="1"/>
      <c r="AT1108" s="2">
        <v>44269.931099537</v>
      </c>
    </row>
    <row r="1109" ht="13.5" customHeight="1">
      <c r="A1109" s="1">
        <v>2037125.0</v>
      </c>
      <c r="B1109" s="1" t="s">
        <v>67</v>
      </c>
      <c r="C1109" s="1" t="s">
        <v>68</v>
      </c>
      <c r="D1109" s="1" t="s">
        <v>46</v>
      </c>
      <c r="E1109" s="1" t="s">
        <v>4683</v>
      </c>
      <c r="F1109" s="1"/>
      <c r="G1109" s="1" t="s">
        <v>70</v>
      </c>
      <c r="H1109" s="1" t="s">
        <v>50</v>
      </c>
      <c r="I1109" s="1">
        <v>120000.0</v>
      </c>
      <c r="J1109" s="1"/>
      <c r="K1109" s="1"/>
      <c r="L1109" s="1" t="s">
        <v>1172</v>
      </c>
      <c r="M1109" s="1" t="s">
        <v>4684</v>
      </c>
      <c r="N1109" s="1" t="s">
        <v>72</v>
      </c>
      <c r="O1109" s="1" t="s">
        <v>73</v>
      </c>
      <c r="P1109" s="2">
        <v>43792.5833333333</v>
      </c>
      <c r="Q1109" s="1" t="s">
        <v>373</v>
      </c>
      <c r="R1109" s="3">
        <v>43792.0</v>
      </c>
      <c r="S1109" s="1"/>
      <c r="T1109" s="1">
        <v>1505486.0</v>
      </c>
      <c r="U1109" s="1" t="s">
        <v>3446</v>
      </c>
      <c r="V1109" s="1" t="s">
        <v>193</v>
      </c>
      <c r="W1109" s="1" t="s">
        <v>177</v>
      </c>
      <c r="X1109" s="1"/>
      <c r="Y1109" s="1"/>
      <c r="Z1109" s="1" t="s">
        <v>76</v>
      </c>
      <c r="AA1109" s="1" t="s">
        <v>4685</v>
      </c>
      <c r="AB1109" s="1" t="str">
        <f t="shared" ref="AB1109:AB1110" si="61">"***241212**"</f>
        <v>***241212**</v>
      </c>
      <c r="AC1109" s="1"/>
      <c r="AD1109" s="1"/>
      <c r="AE1109" s="1"/>
      <c r="AF1109" s="1">
        <v>-51.042778</v>
      </c>
      <c r="AG1109" s="1">
        <v>-3.353611</v>
      </c>
      <c r="AH1109" s="1" t="s">
        <v>4686</v>
      </c>
      <c r="AI1109" s="1"/>
      <c r="AJ1109" s="1" t="s">
        <v>1172</v>
      </c>
      <c r="AK1109" s="1"/>
      <c r="AL1109" s="1" t="s">
        <v>79</v>
      </c>
      <c r="AM1109" s="1" t="s">
        <v>65</v>
      </c>
      <c r="AN1109" s="1" t="s">
        <v>3087</v>
      </c>
      <c r="AO1109" s="2">
        <v>43985.0</v>
      </c>
      <c r="AP1109" s="2">
        <v>43985.5677546296</v>
      </c>
      <c r="AQ1109" s="1" t="s">
        <v>80</v>
      </c>
      <c r="AR1109" s="1" t="s">
        <v>1607</v>
      </c>
      <c r="AS1109" s="1"/>
      <c r="AT1109" s="2">
        <v>44269.931099537</v>
      </c>
    </row>
    <row r="1110" ht="13.5" customHeight="1">
      <c r="A1110" s="1">
        <v>2037126.0</v>
      </c>
      <c r="B1110" s="1" t="s">
        <v>67</v>
      </c>
      <c r="C1110" s="1" t="s">
        <v>68</v>
      </c>
      <c r="D1110" s="1" t="s">
        <v>46</v>
      </c>
      <c r="E1110" s="1" t="s">
        <v>4687</v>
      </c>
      <c r="F1110" s="1"/>
      <c r="G1110" s="1" t="s">
        <v>70</v>
      </c>
      <c r="H1110" s="1" t="s">
        <v>50</v>
      </c>
      <c r="I1110" s="1">
        <v>2125000.0</v>
      </c>
      <c r="J1110" s="1"/>
      <c r="K1110" s="1"/>
      <c r="L1110" s="1" t="s">
        <v>1172</v>
      </c>
      <c r="M1110" s="1" t="s">
        <v>4688</v>
      </c>
      <c r="N1110" s="1" t="s">
        <v>142</v>
      </c>
      <c r="O1110" s="1" t="s">
        <v>143</v>
      </c>
      <c r="P1110" s="2">
        <v>43792.5833333333</v>
      </c>
      <c r="Q1110" s="1" t="s">
        <v>373</v>
      </c>
      <c r="R1110" s="3">
        <v>43792.0</v>
      </c>
      <c r="S1110" s="1"/>
      <c r="T1110" s="1">
        <v>1505486.0</v>
      </c>
      <c r="U1110" s="1" t="s">
        <v>3446</v>
      </c>
      <c r="V1110" s="1" t="s">
        <v>193</v>
      </c>
      <c r="W1110" s="1" t="s">
        <v>177</v>
      </c>
      <c r="X1110" s="1"/>
      <c r="Y1110" s="1"/>
      <c r="Z1110" s="1" t="s">
        <v>147</v>
      </c>
      <c r="AA1110" s="1" t="s">
        <v>4685</v>
      </c>
      <c r="AB1110" s="1" t="str">
        <f t="shared" si="61"/>
        <v>***241212**</v>
      </c>
      <c r="AC1110" s="1"/>
      <c r="AD1110" s="1"/>
      <c r="AE1110" s="1"/>
      <c r="AF1110" s="1">
        <v>-51.042778</v>
      </c>
      <c r="AG1110" s="1">
        <v>-3.353611</v>
      </c>
      <c r="AH1110" s="1" t="s">
        <v>4689</v>
      </c>
      <c r="AI1110" s="1"/>
      <c r="AJ1110" s="1" t="s">
        <v>1172</v>
      </c>
      <c r="AK1110" s="1"/>
      <c r="AL1110" s="1" t="s">
        <v>79</v>
      </c>
      <c r="AM1110" s="1" t="s">
        <v>65</v>
      </c>
      <c r="AN1110" s="1" t="s">
        <v>3087</v>
      </c>
      <c r="AO1110" s="2">
        <v>43985.0</v>
      </c>
      <c r="AP1110" s="2">
        <v>43985.5679398148</v>
      </c>
      <c r="AQ1110" s="1" t="s">
        <v>80</v>
      </c>
      <c r="AR1110" s="1" t="s">
        <v>392</v>
      </c>
      <c r="AS1110" s="1"/>
      <c r="AT1110" s="2">
        <v>44269.931099537</v>
      </c>
    </row>
    <row r="1111" ht="13.5" customHeight="1">
      <c r="A1111" s="1"/>
      <c r="B1111" s="1" t="s">
        <v>46</v>
      </c>
      <c r="C1111" s="1" t="s">
        <v>47</v>
      </c>
      <c r="D1111" s="1"/>
      <c r="E1111" s="1" t="s">
        <v>4690</v>
      </c>
      <c r="F1111" s="1"/>
      <c r="G1111" s="1" t="s">
        <v>49</v>
      </c>
      <c r="H1111" s="1" t="s">
        <v>50</v>
      </c>
      <c r="I1111" s="1">
        <v>1700.0</v>
      </c>
      <c r="J1111" s="1"/>
      <c r="K1111" s="1" t="s">
        <v>51</v>
      </c>
      <c r="L1111" s="1"/>
      <c r="M1111" s="1" t="s">
        <v>4691</v>
      </c>
      <c r="N1111" s="1" t="s">
        <v>53</v>
      </c>
      <c r="O1111" s="1" t="s">
        <v>54</v>
      </c>
      <c r="P1111" s="2">
        <v>43792.5084027778</v>
      </c>
      <c r="Q1111" s="1" t="s">
        <v>373</v>
      </c>
      <c r="R1111" s="1"/>
      <c r="S1111" s="1"/>
      <c r="T1111" s="1">
        <v>1600105.0</v>
      </c>
      <c r="U1111" s="1" t="s">
        <v>4692</v>
      </c>
      <c r="V1111" s="1" t="s">
        <v>797</v>
      </c>
      <c r="W1111" s="1" t="s">
        <v>288</v>
      </c>
      <c r="X1111" s="1"/>
      <c r="Y1111" s="1"/>
      <c r="Z1111" s="1" t="s">
        <v>60</v>
      </c>
      <c r="AA1111" s="1" t="s">
        <v>4693</v>
      </c>
      <c r="AB1111" s="1" t="str">
        <f>"***330832**"</f>
        <v>***330832**</v>
      </c>
      <c r="AC1111" s="1"/>
      <c r="AD1111" s="1" t="s">
        <v>149</v>
      </c>
      <c r="AE1111" s="1"/>
      <c r="AF1111" s="1">
        <v>-50.363609</v>
      </c>
      <c r="AG1111" s="1">
        <v>1.895833</v>
      </c>
      <c r="AH1111" s="1" t="s">
        <v>4694</v>
      </c>
      <c r="AI1111" s="1"/>
      <c r="AJ1111" s="1" t="s">
        <v>800</v>
      </c>
      <c r="AK1111" s="1"/>
      <c r="AL1111" s="1"/>
      <c r="AM1111" s="1" t="s">
        <v>65</v>
      </c>
      <c r="AN1111" s="1" t="s">
        <v>152</v>
      </c>
      <c r="AO1111" s="1"/>
      <c r="AP1111" s="2">
        <v>44047.4635416667</v>
      </c>
      <c r="AQ1111" s="1"/>
      <c r="AR1111" s="1" t="s">
        <v>4325</v>
      </c>
      <c r="AS1111" s="1"/>
      <c r="AT1111" s="2">
        <v>44269.931099537</v>
      </c>
    </row>
    <row r="1112" ht="13.5" customHeight="1">
      <c r="A1112" s="1"/>
      <c r="B1112" s="1" t="s">
        <v>46</v>
      </c>
      <c r="C1112" s="1" t="s">
        <v>47</v>
      </c>
      <c r="D1112" s="1"/>
      <c r="E1112" s="1" t="s">
        <v>4695</v>
      </c>
      <c r="F1112" s="1"/>
      <c r="G1112" s="1" t="s">
        <v>49</v>
      </c>
      <c r="H1112" s="1" t="s">
        <v>93</v>
      </c>
      <c r="I1112" s="1">
        <v>310000.0</v>
      </c>
      <c r="J1112" s="1"/>
      <c r="K1112" s="1"/>
      <c r="L1112" s="1"/>
      <c r="M1112" s="1" t="s">
        <v>4696</v>
      </c>
      <c r="N1112" s="1" t="s">
        <v>142</v>
      </c>
      <c r="O1112" s="1" t="s">
        <v>143</v>
      </c>
      <c r="P1112" s="2">
        <v>43792.2740625</v>
      </c>
      <c r="Q1112" s="1" t="s">
        <v>373</v>
      </c>
      <c r="R1112" s="1"/>
      <c r="S1112" s="1"/>
      <c r="T1112" s="1">
        <v>1200500.0</v>
      </c>
      <c r="U1112" s="1" t="s">
        <v>3965</v>
      </c>
      <c r="V1112" s="1" t="s">
        <v>498</v>
      </c>
      <c r="W1112" s="1" t="s">
        <v>177</v>
      </c>
      <c r="X1112" s="1"/>
      <c r="Y1112" s="1"/>
      <c r="Z1112" s="1" t="s">
        <v>147</v>
      </c>
      <c r="AA1112" s="1" t="s">
        <v>3966</v>
      </c>
      <c r="AB1112" s="1" t="str">
        <f>"***935622**"</f>
        <v>***935622**</v>
      </c>
      <c r="AC1112" s="1"/>
      <c r="AD1112" s="1" t="s">
        <v>116</v>
      </c>
      <c r="AE1112" s="1"/>
      <c r="AF1112" s="1">
        <v>-9.0725</v>
      </c>
      <c r="AG1112" s="1">
        <v>-68.950278</v>
      </c>
      <c r="AH1112" s="1" t="s">
        <v>4697</v>
      </c>
      <c r="AI1112" s="1"/>
      <c r="AJ1112" s="1" t="s">
        <v>172</v>
      </c>
      <c r="AK1112" s="1"/>
      <c r="AL1112" s="1"/>
      <c r="AM1112" s="1" t="s">
        <v>65</v>
      </c>
      <c r="AN1112" s="1" t="s">
        <v>1395</v>
      </c>
      <c r="AO1112" s="1"/>
      <c r="AP1112" s="2">
        <v>44267.689375</v>
      </c>
      <c r="AQ1112" s="1"/>
      <c r="AR1112" s="1" t="s">
        <v>871</v>
      </c>
      <c r="AS1112" s="1"/>
      <c r="AT1112" s="2">
        <v>44269.931099537</v>
      </c>
    </row>
    <row r="1113" ht="13.5" customHeight="1">
      <c r="A1113" s="1">
        <v>2039753.0</v>
      </c>
      <c r="B1113" s="1" t="s">
        <v>67</v>
      </c>
      <c r="C1113" s="1" t="s">
        <v>68</v>
      </c>
      <c r="D1113" s="1" t="s">
        <v>46</v>
      </c>
      <c r="E1113" s="1" t="s">
        <v>4698</v>
      </c>
      <c r="F1113" s="1"/>
      <c r="G1113" s="1" t="s">
        <v>70</v>
      </c>
      <c r="H1113" s="1" t="s">
        <v>93</v>
      </c>
      <c r="I1113" s="1">
        <v>3900.0</v>
      </c>
      <c r="J1113" s="1"/>
      <c r="K1113" s="1"/>
      <c r="L1113" s="1" t="s">
        <v>537</v>
      </c>
      <c r="M1113" s="1" t="s">
        <v>4699</v>
      </c>
      <c r="N1113" s="1" t="s">
        <v>142</v>
      </c>
      <c r="O1113" s="1" t="s">
        <v>143</v>
      </c>
      <c r="P1113" s="2">
        <v>43792.25</v>
      </c>
      <c r="Q1113" s="1" t="s">
        <v>373</v>
      </c>
      <c r="R1113" s="3">
        <v>43792.0</v>
      </c>
      <c r="S1113" s="1"/>
      <c r="T1113" s="1">
        <v>2104057.0</v>
      </c>
      <c r="U1113" s="1" t="s">
        <v>4700</v>
      </c>
      <c r="V1113" s="1" t="s">
        <v>540</v>
      </c>
      <c r="W1113" s="1" t="s">
        <v>127</v>
      </c>
      <c r="X1113" s="1"/>
      <c r="Y1113" s="1" t="str">
        <f>"02012002174202055"</f>
        <v>02012002174202055</v>
      </c>
      <c r="Z1113" s="1" t="s">
        <v>147</v>
      </c>
      <c r="AA1113" s="1" t="s">
        <v>4701</v>
      </c>
      <c r="AB1113" s="1" t="str">
        <f>"***754553**"</f>
        <v>***754553**</v>
      </c>
      <c r="AC1113" s="1"/>
      <c r="AD1113" s="1"/>
      <c r="AE1113" s="1"/>
      <c r="AF1113" s="1">
        <v>-47.075001</v>
      </c>
      <c r="AG1113" s="1">
        <v>-6.897222</v>
      </c>
      <c r="AH1113" s="1" t="s">
        <v>4702</v>
      </c>
      <c r="AI1113" s="1"/>
      <c r="AJ1113" s="1" t="s">
        <v>537</v>
      </c>
      <c r="AK1113" s="1"/>
      <c r="AL1113" s="1" t="s">
        <v>79</v>
      </c>
      <c r="AM1113" s="1" t="s">
        <v>65</v>
      </c>
      <c r="AN1113" s="1" t="s">
        <v>4203</v>
      </c>
      <c r="AO1113" s="2">
        <v>44071.0</v>
      </c>
      <c r="AP1113" s="2">
        <v>44071.6425810185</v>
      </c>
      <c r="AQ1113" s="1" t="s">
        <v>80</v>
      </c>
      <c r="AR1113" s="1" t="s">
        <v>3298</v>
      </c>
      <c r="AS1113" s="1"/>
      <c r="AT1113" s="2">
        <v>44269.931099537</v>
      </c>
    </row>
    <row r="1114" ht="13.5" customHeight="1">
      <c r="A1114" s="1"/>
      <c r="B1114" s="1" t="s">
        <v>46</v>
      </c>
      <c r="C1114" s="1" t="s">
        <v>47</v>
      </c>
      <c r="D1114" s="1"/>
      <c r="E1114" s="1" t="s">
        <v>4703</v>
      </c>
      <c r="F1114" s="1"/>
      <c r="G1114" s="1" t="s">
        <v>49</v>
      </c>
      <c r="H1114" s="1" t="s">
        <v>93</v>
      </c>
      <c r="I1114" s="1">
        <v>88000.0</v>
      </c>
      <c r="J1114" s="1"/>
      <c r="K1114" s="1"/>
      <c r="L1114" s="1"/>
      <c r="M1114" s="1" t="s">
        <v>4704</v>
      </c>
      <c r="N1114" s="1" t="s">
        <v>142</v>
      </c>
      <c r="O1114" s="1" t="s">
        <v>143</v>
      </c>
      <c r="P1114" s="2">
        <v>43791.8255902778</v>
      </c>
      <c r="Q1114" s="1" t="s">
        <v>74</v>
      </c>
      <c r="R1114" s="3">
        <v>43794.0</v>
      </c>
      <c r="S1114" s="1"/>
      <c r="T1114" s="1">
        <v>1718758.0</v>
      </c>
      <c r="U1114" s="1" t="s">
        <v>4705</v>
      </c>
      <c r="V1114" s="1" t="s">
        <v>2156</v>
      </c>
      <c r="W1114" s="1" t="s">
        <v>127</v>
      </c>
      <c r="X1114" s="1"/>
      <c r="Y1114" s="1"/>
      <c r="Z1114" s="1" t="s">
        <v>147</v>
      </c>
      <c r="AA1114" s="1" t="s">
        <v>4706</v>
      </c>
      <c r="AB1114" s="1" t="str">
        <f>"***445561**"</f>
        <v>***445561**</v>
      </c>
      <c r="AC1114" s="1"/>
      <c r="AD1114" s="1" t="s">
        <v>116</v>
      </c>
      <c r="AE1114" s="1"/>
      <c r="AF1114" s="1">
        <v>-47.822777</v>
      </c>
      <c r="AG1114" s="1">
        <v>-9.623055</v>
      </c>
      <c r="AH1114" s="1" t="s">
        <v>4707</v>
      </c>
      <c r="AI1114" s="1"/>
      <c r="AJ1114" s="1" t="s">
        <v>386</v>
      </c>
      <c r="AK1114" s="1"/>
      <c r="AL1114" s="1"/>
      <c r="AM1114" s="1" t="s">
        <v>65</v>
      </c>
      <c r="AN1114" s="1" t="s">
        <v>4237</v>
      </c>
      <c r="AO1114" s="1"/>
      <c r="AP1114" s="2">
        <v>43791.8336805556</v>
      </c>
      <c r="AQ1114" s="1"/>
      <c r="AR1114" s="1" t="s">
        <v>169</v>
      </c>
      <c r="AS1114" s="1" t="s">
        <v>4708</v>
      </c>
      <c r="AT1114" s="2">
        <v>44269.931099537</v>
      </c>
    </row>
    <row r="1115" ht="13.5" customHeight="1">
      <c r="A1115" s="1"/>
      <c r="B1115" s="1" t="s">
        <v>46</v>
      </c>
      <c r="C1115" s="1" t="s">
        <v>47</v>
      </c>
      <c r="D1115" s="1"/>
      <c r="E1115" s="1" t="s">
        <v>4709</v>
      </c>
      <c r="F1115" s="1"/>
      <c r="G1115" s="1" t="s">
        <v>49</v>
      </c>
      <c r="H1115" s="1" t="s">
        <v>50</v>
      </c>
      <c r="I1115" s="1">
        <v>21080.0</v>
      </c>
      <c r="J1115" s="1"/>
      <c r="K1115" s="1" t="s">
        <v>51</v>
      </c>
      <c r="L1115" s="1"/>
      <c r="M1115" s="1" t="s">
        <v>4710</v>
      </c>
      <c r="N1115" s="1" t="s">
        <v>53</v>
      </c>
      <c r="O1115" s="1" t="s">
        <v>54</v>
      </c>
      <c r="P1115" s="2">
        <v>43791.8084027778</v>
      </c>
      <c r="Q1115" s="1" t="s">
        <v>55</v>
      </c>
      <c r="R1115" s="1"/>
      <c r="S1115" s="1"/>
      <c r="T1115" s="1">
        <v>3518800.0</v>
      </c>
      <c r="U1115" s="1" t="s">
        <v>57</v>
      </c>
      <c r="V1115" s="1" t="s">
        <v>58</v>
      </c>
      <c r="W1115" s="1" t="s">
        <v>59</v>
      </c>
      <c r="X1115" s="1"/>
      <c r="Y1115" s="1"/>
      <c r="Z1115" s="1" t="s">
        <v>60</v>
      </c>
      <c r="AA1115" s="1" t="s">
        <v>4711</v>
      </c>
      <c r="AB1115" s="1" t="str">
        <f>"29088445000157"</f>
        <v>29088445000157</v>
      </c>
      <c r="AC1115" s="1"/>
      <c r="AD1115" s="1" t="s">
        <v>62</v>
      </c>
      <c r="AE1115" s="1"/>
      <c r="AF1115" s="1">
        <v>-46.487499</v>
      </c>
      <c r="AG1115" s="1">
        <v>-23.425554</v>
      </c>
      <c r="AH1115" s="1" t="s">
        <v>4375</v>
      </c>
      <c r="AI1115" s="1"/>
      <c r="AJ1115" s="1" t="s">
        <v>64</v>
      </c>
      <c r="AK1115" s="1"/>
      <c r="AL1115" s="1"/>
      <c r="AM1115" s="1" t="s">
        <v>65</v>
      </c>
      <c r="AN1115" s="1"/>
      <c r="AO1115" s="1"/>
      <c r="AP1115" s="2">
        <v>43791.8144212963</v>
      </c>
      <c r="AQ1115" s="1"/>
      <c r="AR1115" s="1" t="s">
        <v>66</v>
      </c>
      <c r="AS1115" s="1" t="s">
        <v>4712</v>
      </c>
      <c r="AT1115" s="2">
        <v>44269.931099537</v>
      </c>
    </row>
    <row r="1116" ht="13.5" customHeight="1">
      <c r="A1116" s="1"/>
      <c r="B1116" s="1" t="s">
        <v>46</v>
      </c>
      <c r="C1116" s="1" t="s">
        <v>47</v>
      </c>
      <c r="D1116" s="1"/>
      <c r="E1116" s="1" t="s">
        <v>4713</v>
      </c>
      <c r="F1116" s="1"/>
      <c r="G1116" s="1" t="s">
        <v>49</v>
      </c>
      <c r="H1116" s="1" t="s">
        <v>93</v>
      </c>
      <c r="I1116" s="1">
        <v>2000.0</v>
      </c>
      <c r="J1116" s="1"/>
      <c r="K1116" s="1"/>
      <c r="L1116" s="1"/>
      <c r="M1116" s="1" t="s">
        <v>4714</v>
      </c>
      <c r="N1116" s="1" t="s">
        <v>95</v>
      </c>
      <c r="O1116" s="1" t="s">
        <v>96</v>
      </c>
      <c r="P1116" s="2">
        <v>43791.7972453704</v>
      </c>
      <c r="Q1116" s="1" t="s">
        <v>55</v>
      </c>
      <c r="R1116" s="1"/>
      <c r="S1116" s="1"/>
      <c r="T1116" s="1">
        <v>3518800.0</v>
      </c>
      <c r="U1116" s="1" t="s">
        <v>57</v>
      </c>
      <c r="V1116" s="1" t="s">
        <v>58</v>
      </c>
      <c r="W1116" s="1" t="s">
        <v>59</v>
      </c>
      <c r="X1116" s="1"/>
      <c r="Y1116" s="1"/>
      <c r="Z1116" s="1" t="s">
        <v>98</v>
      </c>
      <c r="AA1116" s="1" t="s">
        <v>4715</v>
      </c>
      <c r="AB1116" s="1" t="str">
        <f>"***630308**"</f>
        <v>***630308**</v>
      </c>
      <c r="AC1116" s="1"/>
      <c r="AD1116" s="1" t="s">
        <v>62</v>
      </c>
      <c r="AE1116" s="1"/>
      <c r="AF1116" s="1">
        <v>-46.487499</v>
      </c>
      <c r="AG1116" s="1">
        <v>-23.425554</v>
      </c>
      <c r="AH1116" s="1" t="s">
        <v>4375</v>
      </c>
      <c r="AI1116" s="1"/>
      <c r="AJ1116" s="1" t="s">
        <v>64</v>
      </c>
      <c r="AK1116" s="1"/>
      <c r="AL1116" s="1"/>
      <c r="AM1116" s="1" t="s">
        <v>65</v>
      </c>
      <c r="AN1116" s="1"/>
      <c r="AO1116" s="1"/>
      <c r="AP1116" s="2">
        <v>43791.805</v>
      </c>
      <c r="AQ1116" s="1"/>
      <c r="AR1116" s="1" t="s">
        <v>4716</v>
      </c>
      <c r="AS1116" s="1" t="s">
        <v>4717</v>
      </c>
      <c r="AT1116" s="2">
        <v>44269.931099537</v>
      </c>
    </row>
    <row r="1117" ht="13.5" customHeight="1">
      <c r="A1117" s="1">
        <v>2044309.0</v>
      </c>
      <c r="B1117" s="1" t="s">
        <v>67</v>
      </c>
      <c r="C1117" s="1" t="s">
        <v>68</v>
      </c>
      <c r="D1117" s="1" t="s">
        <v>46</v>
      </c>
      <c r="E1117" s="1" t="s">
        <v>4718</v>
      </c>
      <c r="F1117" s="1"/>
      <c r="G1117" s="1" t="s">
        <v>70</v>
      </c>
      <c r="H1117" s="1" t="s">
        <v>93</v>
      </c>
      <c r="I1117" s="1">
        <v>52500.0</v>
      </c>
      <c r="J1117" s="1"/>
      <c r="K1117" s="1"/>
      <c r="L1117" s="1" t="s">
        <v>800</v>
      </c>
      <c r="M1117" s="1" t="s">
        <v>4719</v>
      </c>
      <c r="N1117" s="1" t="s">
        <v>72</v>
      </c>
      <c r="O1117" s="1" t="s">
        <v>73</v>
      </c>
      <c r="P1117" s="2">
        <v>43791.7916666667</v>
      </c>
      <c r="Q1117" s="1" t="s">
        <v>74</v>
      </c>
      <c r="R1117" s="3">
        <v>43791.0</v>
      </c>
      <c r="S1117" s="1"/>
      <c r="T1117" s="1">
        <v>1600402.0</v>
      </c>
      <c r="U1117" s="1" t="s">
        <v>880</v>
      </c>
      <c r="V1117" s="1" t="s">
        <v>797</v>
      </c>
      <c r="W1117" s="1" t="s">
        <v>177</v>
      </c>
      <c r="X1117" s="1"/>
      <c r="Y1117" s="1"/>
      <c r="Z1117" s="1" t="s">
        <v>76</v>
      </c>
      <c r="AA1117" s="1" t="s">
        <v>4720</v>
      </c>
      <c r="AB1117" s="1" t="str">
        <f>"***586241**"</f>
        <v>***586241**</v>
      </c>
      <c r="AC1117" s="1"/>
      <c r="AD1117" s="1"/>
      <c r="AE1117" s="1"/>
      <c r="AF1117" s="1">
        <v>-51.573608</v>
      </c>
      <c r="AG1117" s="1">
        <v>0.076667</v>
      </c>
      <c r="AH1117" s="1" t="s">
        <v>4721</v>
      </c>
      <c r="AI1117" s="1"/>
      <c r="AJ1117" s="1" t="s">
        <v>800</v>
      </c>
      <c r="AK1117" s="1"/>
      <c r="AL1117" s="1" t="s">
        <v>79</v>
      </c>
      <c r="AM1117" s="1" t="s">
        <v>65</v>
      </c>
      <c r="AN1117" s="1" t="s">
        <v>4722</v>
      </c>
      <c r="AO1117" s="2">
        <v>44267.0</v>
      </c>
      <c r="AP1117" s="2">
        <v>44267.7289351852</v>
      </c>
      <c r="AQ1117" s="1" t="s">
        <v>80</v>
      </c>
      <c r="AR1117" s="1" t="s">
        <v>81</v>
      </c>
      <c r="AS1117" s="1" t="s">
        <v>4723</v>
      </c>
      <c r="AT1117" s="2">
        <v>44269.931099537</v>
      </c>
    </row>
    <row r="1118" ht="13.5" customHeight="1">
      <c r="A1118" s="1"/>
      <c r="B1118" s="1" t="s">
        <v>46</v>
      </c>
      <c r="C1118" s="1" t="s">
        <v>47</v>
      </c>
      <c r="D1118" s="1"/>
      <c r="E1118" s="1" t="s">
        <v>4724</v>
      </c>
      <c r="F1118" s="1"/>
      <c r="G1118" s="1" t="s">
        <v>49</v>
      </c>
      <c r="H1118" s="1" t="s">
        <v>93</v>
      </c>
      <c r="I1118" s="1">
        <v>2500.0</v>
      </c>
      <c r="J1118" s="1"/>
      <c r="K1118" s="1" t="s">
        <v>51</v>
      </c>
      <c r="L1118" s="1"/>
      <c r="M1118" s="1" t="s">
        <v>4725</v>
      </c>
      <c r="N1118" s="1" t="s">
        <v>977</v>
      </c>
      <c r="O1118" s="1" t="s">
        <v>978</v>
      </c>
      <c r="P1118" s="2">
        <v>43791.7085069444</v>
      </c>
      <c r="Q1118" s="1" t="s">
        <v>55</v>
      </c>
      <c r="R1118" s="1"/>
      <c r="S1118" s="1"/>
      <c r="T1118" s="1">
        <v>3518800.0</v>
      </c>
      <c r="U1118" s="1" t="s">
        <v>57</v>
      </c>
      <c r="V1118" s="1" t="s">
        <v>58</v>
      </c>
      <c r="W1118" s="1" t="s">
        <v>59</v>
      </c>
      <c r="X1118" s="1"/>
      <c r="Y1118" s="1"/>
      <c r="Z1118" s="1" t="s">
        <v>980</v>
      </c>
      <c r="AA1118" s="1" t="s">
        <v>4726</v>
      </c>
      <c r="AB1118" s="1" t="str">
        <f>"10486463000320"</f>
        <v>10486463000320</v>
      </c>
      <c r="AC1118" s="1"/>
      <c r="AD1118" s="1" t="s">
        <v>62</v>
      </c>
      <c r="AE1118" s="1"/>
      <c r="AF1118" s="1">
        <v>-46.487499</v>
      </c>
      <c r="AG1118" s="1">
        <v>-23.425554</v>
      </c>
      <c r="AH1118" s="1" t="s">
        <v>4375</v>
      </c>
      <c r="AI1118" s="1"/>
      <c r="AJ1118" s="1" t="s">
        <v>64</v>
      </c>
      <c r="AK1118" s="1"/>
      <c r="AL1118" s="1"/>
      <c r="AM1118" s="1" t="s">
        <v>65</v>
      </c>
      <c r="AN1118" s="1"/>
      <c r="AO1118" s="1"/>
      <c r="AP1118" s="2">
        <v>43791.7115625</v>
      </c>
      <c r="AQ1118" s="1"/>
      <c r="AR1118" s="1" t="s">
        <v>1756</v>
      </c>
      <c r="AS1118" s="1"/>
      <c r="AT1118" s="2">
        <v>44269.931099537</v>
      </c>
    </row>
    <row r="1119" ht="13.5" customHeight="1">
      <c r="A1119" s="1">
        <v>2039928.0</v>
      </c>
      <c r="B1119" s="1" t="s">
        <v>67</v>
      </c>
      <c r="C1119" s="1" t="s">
        <v>68</v>
      </c>
      <c r="D1119" s="1" t="s">
        <v>46</v>
      </c>
      <c r="E1119" s="1" t="s">
        <v>4727</v>
      </c>
      <c r="F1119" s="1"/>
      <c r="G1119" s="1" t="s">
        <v>70</v>
      </c>
      <c r="H1119" s="1" t="s">
        <v>93</v>
      </c>
      <c r="I1119" s="1">
        <v>11500.0</v>
      </c>
      <c r="J1119" s="1"/>
      <c r="K1119" s="1"/>
      <c r="L1119" s="1" t="s">
        <v>800</v>
      </c>
      <c r="M1119" s="1" t="s">
        <v>4728</v>
      </c>
      <c r="N1119" s="1" t="s">
        <v>72</v>
      </c>
      <c r="O1119" s="1" t="s">
        <v>73</v>
      </c>
      <c r="P1119" s="2">
        <v>43791.7083333333</v>
      </c>
      <c r="Q1119" s="1" t="s">
        <v>74</v>
      </c>
      <c r="R1119" s="3">
        <v>43793.0</v>
      </c>
      <c r="S1119" s="1"/>
      <c r="T1119" s="1">
        <v>1600402.0</v>
      </c>
      <c r="U1119" s="1" t="s">
        <v>880</v>
      </c>
      <c r="V1119" s="1" t="s">
        <v>797</v>
      </c>
      <c r="W1119" s="1" t="s">
        <v>177</v>
      </c>
      <c r="X1119" s="1"/>
      <c r="Y1119" s="1" t="str">
        <f>"02004001631201950"</f>
        <v>02004001631201950</v>
      </c>
      <c r="Z1119" s="1" t="s">
        <v>76</v>
      </c>
      <c r="AA1119" s="1" t="s">
        <v>4729</v>
      </c>
      <c r="AB1119" s="1" t="str">
        <f>"***556031**"</f>
        <v>***556031**</v>
      </c>
      <c r="AC1119" s="1"/>
      <c r="AD1119" s="1" t="s">
        <v>116</v>
      </c>
      <c r="AE1119" s="1"/>
      <c r="AF1119" s="1">
        <v>-51.573611</v>
      </c>
      <c r="AG1119" s="1">
        <v>0.076944</v>
      </c>
      <c r="AH1119" s="1" t="s">
        <v>4730</v>
      </c>
      <c r="AI1119" s="1"/>
      <c r="AJ1119" s="1" t="s">
        <v>800</v>
      </c>
      <c r="AK1119" s="1" t="s">
        <v>4731</v>
      </c>
      <c r="AL1119" s="1" t="s">
        <v>79</v>
      </c>
      <c r="AM1119" s="1" t="s">
        <v>65</v>
      </c>
      <c r="AN1119" s="1" t="s">
        <v>4722</v>
      </c>
      <c r="AO1119" s="2">
        <v>44077.0</v>
      </c>
      <c r="AP1119" s="2">
        <v>44077.6237962963</v>
      </c>
      <c r="AQ1119" s="1" t="s">
        <v>80</v>
      </c>
      <c r="AR1119" s="1" t="s">
        <v>4732</v>
      </c>
      <c r="AS1119" s="1" t="s">
        <v>4733</v>
      </c>
      <c r="AT1119" s="2">
        <v>44269.931099537</v>
      </c>
    </row>
    <row r="1120" ht="13.5" customHeight="1">
      <c r="A1120" s="1"/>
      <c r="B1120" s="1" t="s">
        <v>46</v>
      </c>
      <c r="C1120" s="1" t="s">
        <v>47</v>
      </c>
      <c r="D1120" s="1"/>
      <c r="E1120" s="1" t="s">
        <v>4734</v>
      </c>
      <c r="F1120" s="1"/>
      <c r="G1120" s="1" t="s">
        <v>49</v>
      </c>
      <c r="H1120" s="1" t="s">
        <v>93</v>
      </c>
      <c r="I1120" s="1">
        <v>4200.0</v>
      </c>
      <c r="J1120" s="1"/>
      <c r="K1120" s="1"/>
      <c r="L1120" s="1"/>
      <c r="M1120" s="1" t="s">
        <v>4735</v>
      </c>
      <c r="N1120" s="1" t="s">
        <v>142</v>
      </c>
      <c r="O1120" s="1" t="s">
        <v>143</v>
      </c>
      <c r="P1120" s="2">
        <v>43791.6818055555</v>
      </c>
      <c r="Q1120" s="1" t="s">
        <v>373</v>
      </c>
      <c r="R1120" s="1"/>
      <c r="S1120" s="1"/>
      <c r="T1120" s="1">
        <v>2801405.0</v>
      </c>
      <c r="U1120" s="1" t="s">
        <v>4736</v>
      </c>
      <c r="V1120" s="1" t="s">
        <v>566</v>
      </c>
      <c r="W1120" s="1" t="s">
        <v>113</v>
      </c>
      <c r="X1120" s="1"/>
      <c r="Y1120" s="1" t="str">
        <f>"02028000745202048"</f>
        <v>02028000745202048</v>
      </c>
      <c r="Z1120" s="1" t="s">
        <v>147</v>
      </c>
      <c r="AA1120" s="1" t="s">
        <v>4737</v>
      </c>
      <c r="AB1120" s="1" t="str">
        <f>"***682555**"</f>
        <v>***682555**</v>
      </c>
      <c r="AC1120" s="1"/>
      <c r="AD1120" s="1" t="s">
        <v>149</v>
      </c>
      <c r="AE1120" s="1"/>
      <c r="AF1120" s="1">
        <v>-37.671917</v>
      </c>
      <c r="AG1120" s="1">
        <v>-10.39875</v>
      </c>
      <c r="AH1120" s="1" t="s">
        <v>4738</v>
      </c>
      <c r="AI1120" s="1"/>
      <c r="AJ1120" s="1" t="s">
        <v>569</v>
      </c>
      <c r="AK1120" s="1"/>
      <c r="AL1120" s="1"/>
      <c r="AM1120" s="1" t="s">
        <v>65</v>
      </c>
      <c r="AN1120" s="1" t="s">
        <v>4739</v>
      </c>
      <c r="AO1120" s="1"/>
      <c r="AP1120" s="2">
        <v>44054.6392361111</v>
      </c>
      <c r="AQ1120" s="1"/>
      <c r="AR1120" s="1" t="s">
        <v>4740</v>
      </c>
      <c r="AS1120" s="1"/>
      <c r="AT1120" s="2">
        <v>44269.931099537</v>
      </c>
    </row>
    <row r="1121" ht="13.5" customHeight="1">
      <c r="A1121" s="1">
        <v>2039752.0</v>
      </c>
      <c r="B1121" s="1" t="s">
        <v>67</v>
      </c>
      <c r="C1121" s="1" t="s">
        <v>68</v>
      </c>
      <c r="D1121" s="1" t="s">
        <v>46</v>
      </c>
      <c r="E1121" s="1" t="s">
        <v>4741</v>
      </c>
      <c r="F1121" s="1"/>
      <c r="G1121" s="1" t="s">
        <v>70</v>
      </c>
      <c r="H1121" s="1" t="s">
        <v>93</v>
      </c>
      <c r="I1121" s="1">
        <v>12000.0</v>
      </c>
      <c r="J1121" s="1"/>
      <c r="K1121" s="1"/>
      <c r="L1121" s="1" t="s">
        <v>537</v>
      </c>
      <c r="M1121" s="1" t="s">
        <v>4742</v>
      </c>
      <c r="N1121" s="1" t="s">
        <v>142</v>
      </c>
      <c r="O1121" s="1" t="s">
        <v>143</v>
      </c>
      <c r="P1121" s="2">
        <v>43791.625</v>
      </c>
      <c r="Q1121" s="1" t="s">
        <v>373</v>
      </c>
      <c r="R1121" s="3">
        <v>43791.0</v>
      </c>
      <c r="S1121" s="1"/>
      <c r="T1121" s="1">
        <v>2104057.0</v>
      </c>
      <c r="U1121" s="1" t="s">
        <v>4700</v>
      </c>
      <c r="V1121" s="1" t="s">
        <v>540</v>
      </c>
      <c r="W1121" s="1" t="s">
        <v>127</v>
      </c>
      <c r="X1121" s="1"/>
      <c r="Y1121" s="1" t="str">
        <f>"02012002173202019"</f>
        <v>02012002173202019</v>
      </c>
      <c r="Z1121" s="1" t="s">
        <v>147</v>
      </c>
      <c r="AA1121" s="1" t="s">
        <v>4743</v>
      </c>
      <c r="AB1121" s="1" t="str">
        <f>"***754553**"</f>
        <v>***754553**</v>
      </c>
      <c r="AC1121" s="1"/>
      <c r="AD1121" s="1"/>
      <c r="AE1121" s="1"/>
      <c r="AF1121" s="1">
        <v>-47.071945</v>
      </c>
      <c r="AG1121" s="1">
        <v>-6.898889</v>
      </c>
      <c r="AH1121" s="1" t="s">
        <v>4744</v>
      </c>
      <c r="AI1121" s="1"/>
      <c r="AJ1121" s="1" t="s">
        <v>537</v>
      </c>
      <c r="AK1121" s="1"/>
      <c r="AL1121" s="1" t="s">
        <v>79</v>
      </c>
      <c r="AM1121" s="1" t="s">
        <v>65</v>
      </c>
      <c r="AN1121" s="1" t="s">
        <v>4203</v>
      </c>
      <c r="AO1121" s="2">
        <v>44071.0</v>
      </c>
      <c r="AP1121" s="2">
        <v>44071.6420601852</v>
      </c>
      <c r="AQ1121" s="1" t="s">
        <v>80</v>
      </c>
      <c r="AR1121" s="1" t="s">
        <v>2065</v>
      </c>
      <c r="AS1121" s="1"/>
      <c r="AT1121" s="2">
        <v>44269.931099537</v>
      </c>
    </row>
    <row r="1122" ht="13.5" customHeight="1">
      <c r="A1122" s="1"/>
      <c r="B1122" s="1" t="s">
        <v>46</v>
      </c>
      <c r="C1122" s="1" t="s">
        <v>47</v>
      </c>
      <c r="D1122" s="1"/>
      <c r="E1122" s="1" t="s">
        <v>4745</v>
      </c>
      <c r="F1122" s="1"/>
      <c r="G1122" s="1" t="s">
        <v>49</v>
      </c>
      <c r="H1122" s="1" t="s">
        <v>93</v>
      </c>
      <c r="I1122" s="1">
        <v>20500.0</v>
      </c>
      <c r="J1122" s="1"/>
      <c r="K1122" s="1" t="s">
        <v>51</v>
      </c>
      <c r="L1122" s="1"/>
      <c r="M1122" s="1" t="s">
        <v>4746</v>
      </c>
      <c r="N1122" s="1" t="s">
        <v>212</v>
      </c>
      <c r="O1122" s="1" t="s">
        <v>213</v>
      </c>
      <c r="P1122" s="2">
        <v>43791.6039583333</v>
      </c>
      <c r="Q1122" s="1" t="s">
        <v>74</v>
      </c>
      <c r="R1122" s="1"/>
      <c r="S1122" s="1"/>
      <c r="T1122" s="1">
        <v>2303709.0</v>
      </c>
      <c r="U1122" s="1" t="s">
        <v>3994</v>
      </c>
      <c r="V1122" s="1" t="s">
        <v>112</v>
      </c>
      <c r="W1122" s="1" t="s">
        <v>288</v>
      </c>
      <c r="X1122" s="1"/>
      <c r="Y1122" s="1"/>
      <c r="Z1122" s="1" t="s">
        <v>215</v>
      </c>
      <c r="AA1122" s="1" t="s">
        <v>4747</v>
      </c>
      <c r="AB1122" s="1" t="str">
        <f>"07186919000160"</f>
        <v>07186919000160</v>
      </c>
      <c r="AC1122" s="1"/>
      <c r="AD1122" s="1" t="s">
        <v>149</v>
      </c>
      <c r="AE1122" s="1"/>
      <c r="AF1122" s="1">
        <v>-38.75861</v>
      </c>
      <c r="AG1122" s="1">
        <v>-3.677222</v>
      </c>
      <c r="AH1122" s="1" t="s">
        <v>4748</v>
      </c>
      <c r="AI1122" s="1"/>
      <c r="AJ1122" s="1" t="s">
        <v>106</v>
      </c>
      <c r="AK1122" s="1"/>
      <c r="AL1122" s="1"/>
      <c r="AM1122" s="1" t="s">
        <v>65</v>
      </c>
      <c r="AN1122" s="1" t="s">
        <v>4660</v>
      </c>
      <c r="AO1122" s="1"/>
      <c r="AP1122" s="2">
        <v>43791.6129398148</v>
      </c>
      <c r="AQ1122" s="1"/>
      <c r="AR1122" s="1" t="s">
        <v>1631</v>
      </c>
      <c r="AS1122" s="1"/>
      <c r="AT1122" s="2">
        <v>44269.931099537</v>
      </c>
    </row>
    <row r="1123" ht="13.5" customHeight="1">
      <c r="A1123" s="1"/>
      <c r="B1123" s="1" t="s">
        <v>46</v>
      </c>
      <c r="C1123" s="1" t="s">
        <v>47</v>
      </c>
      <c r="D1123" s="1"/>
      <c r="E1123" s="1" t="s">
        <v>4749</v>
      </c>
      <c r="F1123" s="1"/>
      <c r="G1123" s="1" t="s">
        <v>49</v>
      </c>
      <c r="H1123" s="1" t="s">
        <v>93</v>
      </c>
      <c r="I1123" s="1">
        <v>2500.0</v>
      </c>
      <c r="J1123" s="1"/>
      <c r="K1123" s="1" t="s">
        <v>51</v>
      </c>
      <c r="L1123" s="1"/>
      <c r="M1123" s="1" t="s">
        <v>4750</v>
      </c>
      <c r="N1123" s="1" t="s">
        <v>977</v>
      </c>
      <c r="O1123" s="1" t="s">
        <v>978</v>
      </c>
      <c r="P1123" s="2">
        <v>43791.6037152778</v>
      </c>
      <c r="Q1123" s="1" t="s">
        <v>55</v>
      </c>
      <c r="R1123" s="1"/>
      <c r="S1123" s="1"/>
      <c r="T1123" s="1">
        <v>3518800.0</v>
      </c>
      <c r="U1123" s="1" t="s">
        <v>57</v>
      </c>
      <c r="V1123" s="1" t="s">
        <v>58</v>
      </c>
      <c r="W1123" s="1" t="s">
        <v>59</v>
      </c>
      <c r="X1123" s="1"/>
      <c r="Y1123" s="1"/>
      <c r="Z1123" s="1" t="s">
        <v>980</v>
      </c>
      <c r="AA1123" s="1" t="s">
        <v>4726</v>
      </c>
      <c r="AB1123" s="1" t="str">
        <f>"10486463000320"</f>
        <v>10486463000320</v>
      </c>
      <c r="AC1123" s="1"/>
      <c r="AD1123" s="1" t="s">
        <v>62</v>
      </c>
      <c r="AE1123" s="1"/>
      <c r="AF1123" s="1">
        <v>-46.487499</v>
      </c>
      <c r="AG1123" s="1">
        <v>-23.425554</v>
      </c>
      <c r="AH1123" s="1" t="s">
        <v>4375</v>
      </c>
      <c r="AI1123" s="1"/>
      <c r="AJ1123" s="1" t="s">
        <v>64</v>
      </c>
      <c r="AK1123" s="1"/>
      <c r="AL1123" s="1"/>
      <c r="AM1123" s="1" t="s">
        <v>65</v>
      </c>
      <c r="AN1123" s="1"/>
      <c r="AO1123" s="1"/>
      <c r="AP1123" s="2">
        <v>43791.6188194444</v>
      </c>
      <c r="AQ1123" s="1"/>
      <c r="AR1123" s="1" t="s">
        <v>1756</v>
      </c>
      <c r="AS1123" s="1"/>
      <c r="AT1123" s="2">
        <v>44269.931099537</v>
      </c>
    </row>
    <row r="1124" ht="13.5" customHeight="1">
      <c r="A1124" s="1"/>
      <c r="B1124" s="1" t="s">
        <v>46</v>
      </c>
      <c r="C1124" s="1" t="s">
        <v>47</v>
      </c>
      <c r="D1124" s="1"/>
      <c r="E1124" s="1" t="s">
        <v>4751</v>
      </c>
      <c r="F1124" s="1"/>
      <c r="G1124" s="1" t="s">
        <v>49</v>
      </c>
      <c r="H1124" s="1" t="s">
        <v>50</v>
      </c>
      <c r="I1124" s="1">
        <v>4500.0</v>
      </c>
      <c r="J1124" s="1"/>
      <c r="K1124" s="1" t="s">
        <v>51</v>
      </c>
      <c r="L1124" s="1"/>
      <c r="M1124" s="1" t="s">
        <v>4750</v>
      </c>
      <c r="N1124" s="1" t="s">
        <v>977</v>
      </c>
      <c r="O1124" s="1" t="s">
        <v>978</v>
      </c>
      <c r="P1124" s="2">
        <v>43791.5754976852</v>
      </c>
      <c r="Q1124" s="1" t="s">
        <v>55</v>
      </c>
      <c r="R1124" s="1"/>
      <c r="S1124" s="1"/>
      <c r="T1124" s="1">
        <v>3518800.0</v>
      </c>
      <c r="U1124" s="1" t="s">
        <v>57</v>
      </c>
      <c r="V1124" s="1" t="s">
        <v>58</v>
      </c>
      <c r="W1124" s="1" t="s">
        <v>59</v>
      </c>
      <c r="X1124" s="1"/>
      <c r="Y1124" s="1"/>
      <c r="Z1124" s="1" t="s">
        <v>980</v>
      </c>
      <c r="AA1124" s="1" t="s">
        <v>4752</v>
      </c>
      <c r="AB1124" s="1" t="str">
        <f>"03625679000364"</f>
        <v>03625679000364</v>
      </c>
      <c r="AC1124" s="1"/>
      <c r="AD1124" s="1" t="s">
        <v>62</v>
      </c>
      <c r="AE1124" s="1"/>
      <c r="AF1124" s="1">
        <v>-46.487499</v>
      </c>
      <c r="AG1124" s="1">
        <v>-23.425554</v>
      </c>
      <c r="AH1124" s="1" t="s">
        <v>4375</v>
      </c>
      <c r="AI1124" s="1"/>
      <c r="AJ1124" s="1" t="s">
        <v>64</v>
      </c>
      <c r="AK1124" s="1"/>
      <c r="AL1124" s="1"/>
      <c r="AM1124" s="1" t="s">
        <v>65</v>
      </c>
      <c r="AN1124" s="1"/>
      <c r="AO1124" s="1"/>
      <c r="AP1124" s="2">
        <v>43791.5979398148</v>
      </c>
      <c r="AQ1124" s="1"/>
      <c r="AR1124" s="1" t="s">
        <v>1756</v>
      </c>
      <c r="AS1124" s="1"/>
      <c r="AT1124" s="2">
        <v>44269.931099537</v>
      </c>
    </row>
    <row r="1125" ht="13.5" customHeight="1">
      <c r="A1125" s="1"/>
      <c r="B1125" s="1" t="s">
        <v>46</v>
      </c>
      <c r="C1125" s="1" t="s">
        <v>47</v>
      </c>
      <c r="D1125" s="1"/>
      <c r="E1125" s="1" t="s">
        <v>4753</v>
      </c>
      <c r="F1125" s="1"/>
      <c r="G1125" s="1" t="s">
        <v>49</v>
      </c>
      <c r="H1125" s="1" t="s">
        <v>93</v>
      </c>
      <c r="I1125" s="1">
        <v>210000.0</v>
      </c>
      <c r="J1125" s="1"/>
      <c r="K1125" s="1"/>
      <c r="L1125" s="1"/>
      <c r="M1125" s="1" t="s">
        <v>4754</v>
      </c>
      <c r="N1125" s="1" t="s">
        <v>142</v>
      </c>
      <c r="O1125" s="1" t="s">
        <v>143</v>
      </c>
      <c r="P1125" s="2">
        <v>43791.5749189815</v>
      </c>
      <c r="Q1125" s="1" t="s">
        <v>373</v>
      </c>
      <c r="R1125" s="1"/>
      <c r="S1125" s="1"/>
      <c r="T1125" s="1">
        <v>1200104.0</v>
      </c>
      <c r="U1125" s="1" t="s">
        <v>4755</v>
      </c>
      <c r="V1125" s="1" t="s">
        <v>498</v>
      </c>
      <c r="W1125" s="1" t="s">
        <v>177</v>
      </c>
      <c r="X1125" s="1"/>
      <c r="Y1125" s="1"/>
      <c r="Z1125" s="1" t="s">
        <v>147</v>
      </c>
      <c r="AA1125" s="1" t="s">
        <v>4756</v>
      </c>
      <c r="AB1125" s="1" t="str">
        <f>"***547888**"</f>
        <v>***547888**</v>
      </c>
      <c r="AC1125" s="1"/>
      <c r="AD1125" s="1" t="s">
        <v>116</v>
      </c>
      <c r="AE1125" s="1"/>
      <c r="AF1125" s="1">
        <v>-10.666667</v>
      </c>
      <c r="AG1125" s="1">
        <v>-69.155838</v>
      </c>
      <c r="AH1125" s="1" t="s">
        <v>4757</v>
      </c>
      <c r="AI1125" s="1"/>
      <c r="AJ1125" s="1" t="s">
        <v>3322</v>
      </c>
      <c r="AK1125" s="1"/>
      <c r="AL1125" s="1"/>
      <c r="AM1125" s="1" t="s">
        <v>65</v>
      </c>
      <c r="AN1125" s="1" t="s">
        <v>3305</v>
      </c>
      <c r="AO1125" s="1"/>
      <c r="AP1125" s="2">
        <v>43791.5919907407</v>
      </c>
      <c r="AQ1125" s="1"/>
      <c r="AR1125" s="1" t="s">
        <v>3478</v>
      </c>
      <c r="AS1125" s="1"/>
      <c r="AT1125" s="2">
        <v>44269.931099537</v>
      </c>
    </row>
    <row r="1126" ht="13.5" customHeight="1">
      <c r="A1126" s="1"/>
      <c r="B1126" s="1" t="s">
        <v>46</v>
      </c>
      <c r="C1126" s="1" t="s">
        <v>47</v>
      </c>
      <c r="D1126" s="1"/>
      <c r="E1126" s="1" t="s">
        <v>4758</v>
      </c>
      <c r="F1126" s="1"/>
      <c r="G1126" s="1" t="s">
        <v>49</v>
      </c>
      <c r="H1126" s="1" t="s">
        <v>50</v>
      </c>
      <c r="I1126" s="1">
        <v>50500.0</v>
      </c>
      <c r="J1126" s="1"/>
      <c r="K1126" s="1" t="s">
        <v>51</v>
      </c>
      <c r="L1126" s="1"/>
      <c r="M1126" s="1" t="s">
        <v>4759</v>
      </c>
      <c r="N1126" s="1" t="s">
        <v>212</v>
      </c>
      <c r="O1126" s="1" t="s">
        <v>213</v>
      </c>
      <c r="P1126" s="2">
        <v>43791.5729166667</v>
      </c>
      <c r="Q1126" s="1" t="s">
        <v>74</v>
      </c>
      <c r="R1126" s="1"/>
      <c r="S1126" s="1"/>
      <c r="T1126" s="1">
        <v>3205309.0</v>
      </c>
      <c r="U1126" s="1" t="s">
        <v>718</v>
      </c>
      <c r="V1126" s="1" t="s">
        <v>403</v>
      </c>
      <c r="W1126" s="1" t="s">
        <v>288</v>
      </c>
      <c r="X1126" s="1"/>
      <c r="Y1126" s="1"/>
      <c r="Z1126" s="1" t="s">
        <v>215</v>
      </c>
      <c r="AA1126" s="1" t="s">
        <v>1381</v>
      </c>
      <c r="AB1126" s="1" t="str">
        <f>"33000167000454"</f>
        <v>33000167000454</v>
      </c>
      <c r="AC1126" s="1"/>
      <c r="AD1126" s="1" t="s">
        <v>149</v>
      </c>
      <c r="AE1126" s="1"/>
      <c r="AF1126" s="1">
        <v>-40.299667</v>
      </c>
      <c r="AG1126" s="1">
        <v>-20.296415</v>
      </c>
      <c r="AH1126" s="1" t="s">
        <v>4760</v>
      </c>
      <c r="AI1126" s="1"/>
      <c r="AJ1126" s="1" t="s">
        <v>172</v>
      </c>
      <c r="AK1126" s="1"/>
      <c r="AL1126" s="1"/>
      <c r="AM1126" s="1" t="s">
        <v>65</v>
      </c>
      <c r="AN1126" s="1" t="s">
        <v>720</v>
      </c>
      <c r="AO1126" s="1"/>
      <c r="AP1126" s="2">
        <v>44036.7357638889</v>
      </c>
      <c r="AQ1126" s="1"/>
      <c r="AR1126" s="1" t="s">
        <v>721</v>
      </c>
      <c r="AS1126" s="1"/>
      <c r="AT1126" s="2">
        <v>44269.931099537</v>
      </c>
    </row>
    <row r="1127" ht="13.5" customHeight="1">
      <c r="A1127" s="1">
        <v>2039480.0</v>
      </c>
      <c r="B1127" s="1" t="s">
        <v>67</v>
      </c>
      <c r="C1127" s="1" t="s">
        <v>68</v>
      </c>
      <c r="D1127" s="1" t="s">
        <v>46</v>
      </c>
      <c r="E1127" s="1" t="s">
        <v>4761</v>
      </c>
      <c r="F1127" s="1"/>
      <c r="G1127" s="1" t="s">
        <v>70</v>
      </c>
      <c r="H1127" s="1" t="s">
        <v>93</v>
      </c>
      <c r="I1127" s="1">
        <v>10473.0</v>
      </c>
      <c r="J1127" s="1"/>
      <c r="K1127" s="1"/>
      <c r="L1127" s="1" t="s">
        <v>537</v>
      </c>
      <c r="M1127" s="1" t="s">
        <v>4762</v>
      </c>
      <c r="N1127" s="1" t="s">
        <v>142</v>
      </c>
      <c r="O1127" s="1" t="s">
        <v>143</v>
      </c>
      <c r="P1127" s="2">
        <v>43791.5416666667</v>
      </c>
      <c r="Q1127" s="1" t="s">
        <v>55</v>
      </c>
      <c r="R1127" s="1"/>
      <c r="S1127" s="1"/>
      <c r="T1127" s="1">
        <v>2111805.0</v>
      </c>
      <c r="U1127" s="1" t="s">
        <v>4763</v>
      </c>
      <c r="V1127" s="1" t="s">
        <v>540</v>
      </c>
      <c r="W1127" s="1" t="s">
        <v>127</v>
      </c>
      <c r="X1127" s="1"/>
      <c r="Y1127" s="1" t="str">
        <f>"02012002111202007"</f>
        <v>02012002111202007</v>
      </c>
      <c r="Z1127" s="1" t="s">
        <v>147</v>
      </c>
      <c r="AA1127" s="1" t="s">
        <v>4764</v>
      </c>
      <c r="AB1127" s="1" t="str">
        <f>"***636613**"</f>
        <v>***636613**</v>
      </c>
      <c r="AC1127" s="1"/>
      <c r="AD1127" s="1"/>
      <c r="AE1127" s="1"/>
      <c r="AF1127" s="1">
        <v>-46.726944</v>
      </c>
      <c r="AG1127" s="1">
        <v>-6.765</v>
      </c>
      <c r="AH1127" s="1" t="s">
        <v>4765</v>
      </c>
      <c r="AI1127" s="1"/>
      <c r="AJ1127" s="1" t="s">
        <v>537</v>
      </c>
      <c r="AK1127" s="1"/>
      <c r="AL1127" s="1" t="s">
        <v>79</v>
      </c>
      <c r="AM1127" s="1" t="s">
        <v>65</v>
      </c>
      <c r="AN1127" s="1" t="s">
        <v>4203</v>
      </c>
      <c r="AO1127" s="2">
        <v>44063.0</v>
      </c>
      <c r="AP1127" s="2">
        <v>44063.6688194444</v>
      </c>
      <c r="AQ1127" s="1" t="s">
        <v>80</v>
      </c>
      <c r="AR1127" s="1" t="s">
        <v>3298</v>
      </c>
      <c r="AS1127" s="1"/>
      <c r="AT1127" s="2">
        <v>44269.931099537</v>
      </c>
    </row>
    <row r="1128" ht="13.5" customHeight="1">
      <c r="A1128" s="1">
        <v>2037837.0</v>
      </c>
      <c r="B1128" s="1" t="s">
        <v>67</v>
      </c>
      <c r="C1128" s="1" t="s">
        <v>68</v>
      </c>
      <c r="D1128" s="1" t="s">
        <v>46</v>
      </c>
      <c r="E1128" s="1" t="s">
        <v>4766</v>
      </c>
      <c r="F1128" s="1"/>
      <c r="G1128" s="1" t="s">
        <v>70</v>
      </c>
      <c r="H1128" s="1" t="s">
        <v>93</v>
      </c>
      <c r="I1128" s="1">
        <v>10000.0</v>
      </c>
      <c r="J1128" s="1"/>
      <c r="K1128" s="1"/>
      <c r="L1128" s="1" t="s">
        <v>800</v>
      </c>
      <c r="M1128" s="1" t="s">
        <v>4767</v>
      </c>
      <c r="N1128" s="1" t="s">
        <v>142</v>
      </c>
      <c r="O1128" s="1" t="s">
        <v>143</v>
      </c>
      <c r="P1128" s="2">
        <v>43791.5</v>
      </c>
      <c r="Q1128" s="1" t="s">
        <v>373</v>
      </c>
      <c r="R1128" s="3">
        <v>43791.0</v>
      </c>
      <c r="S1128" s="1"/>
      <c r="T1128" s="1">
        <v>1600212.0</v>
      </c>
      <c r="U1128" s="1" t="s">
        <v>4768</v>
      </c>
      <c r="V1128" s="1" t="s">
        <v>797</v>
      </c>
      <c r="W1128" s="1" t="s">
        <v>177</v>
      </c>
      <c r="X1128" s="1"/>
      <c r="Y1128" s="1" t="str">
        <f>"02004000813202047"</f>
        <v>02004000813202047</v>
      </c>
      <c r="Z1128" s="1" t="s">
        <v>147</v>
      </c>
      <c r="AA1128" s="1" t="s">
        <v>4769</v>
      </c>
      <c r="AB1128" s="1" t="str">
        <f>"***664412**"</f>
        <v>***664412**</v>
      </c>
      <c r="AC1128" s="1"/>
      <c r="AD1128" s="1"/>
      <c r="AE1128" s="1"/>
      <c r="AF1128" s="1">
        <v>-50.869999</v>
      </c>
      <c r="AG1128" s="1">
        <v>0.860278</v>
      </c>
      <c r="AH1128" s="1" t="s">
        <v>4770</v>
      </c>
      <c r="AI1128" s="1"/>
      <c r="AJ1128" s="1" t="s">
        <v>800</v>
      </c>
      <c r="AK1128" s="1"/>
      <c r="AL1128" s="1" t="s">
        <v>79</v>
      </c>
      <c r="AM1128" s="1" t="s">
        <v>65</v>
      </c>
      <c r="AN1128" s="1" t="s">
        <v>1008</v>
      </c>
      <c r="AO1128" s="2">
        <v>44011.0</v>
      </c>
      <c r="AP1128" s="2">
        <v>44011.8802314815</v>
      </c>
      <c r="AQ1128" s="1" t="s">
        <v>80</v>
      </c>
      <c r="AR1128" s="1" t="s">
        <v>2065</v>
      </c>
      <c r="AS1128" s="1" t="s">
        <v>4771</v>
      </c>
      <c r="AT1128" s="2">
        <v>44269.931099537</v>
      </c>
    </row>
    <row r="1129" ht="13.5" customHeight="1">
      <c r="A1129" s="1">
        <v>2040163.0</v>
      </c>
      <c r="B1129" s="1" t="s">
        <v>67</v>
      </c>
      <c r="C1129" s="1" t="s">
        <v>68</v>
      </c>
      <c r="D1129" s="1" t="s">
        <v>46</v>
      </c>
      <c r="E1129" s="1" t="s">
        <v>4772</v>
      </c>
      <c r="F1129" s="1"/>
      <c r="G1129" s="1" t="s">
        <v>70</v>
      </c>
      <c r="H1129" s="1" t="s">
        <v>93</v>
      </c>
      <c r="I1129" s="1">
        <v>12696.18</v>
      </c>
      <c r="J1129" s="1"/>
      <c r="K1129" s="1"/>
      <c r="L1129" s="1" t="s">
        <v>196</v>
      </c>
      <c r="M1129" s="1" t="s">
        <v>4773</v>
      </c>
      <c r="N1129" s="1" t="s">
        <v>142</v>
      </c>
      <c r="O1129" s="1" t="s">
        <v>143</v>
      </c>
      <c r="P1129" s="2">
        <v>43791.5</v>
      </c>
      <c r="Q1129" s="1" t="s">
        <v>55</v>
      </c>
      <c r="R1129" s="1"/>
      <c r="S1129" s="1"/>
      <c r="T1129" s="1">
        <v>1506807.0</v>
      </c>
      <c r="U1129" s="1" t="s">
        <v>1026</v>
      </c>
      <c r="V1129" s="1" t="s">
        <v>193</v>
      </c>
      <c r="W1129" s="1" t="s">
        <v>177</v>
      </c>
      <c r="X1129" s="1"/>
      <c r="Y1129" s="1"/>
      <c r="Z1129" s="1" t="s">
        <v>147</v>
      </c>
      <c r="AA1129" s="1" t="s">
        <v>4774</v>
      </c>
      <c r="AB1129" s="1" t="str">
        <f>"30588984000134"</f>
        <v>30588984000134</v>
      </c>
      <c r="AC1129" s="1"/>
      <c r="AD1129" s="1"/>
      <c r="AE1129" s="1"/>
      <c r="AF1129" s="1">
        <v>-54.398335</v>
      </c>
      <c r="AG1129" s="1">
        <v>2.763889</v>
      </c>
      <c r="AH1129" s="1" t="s">
        <v>4775</v>
      </c>
      <c r="AI1129" s="1"/>
      <c r="AJ1129" s="1" t="s">
        <v>196</v>
      </c>
      <c r="AK1129" s="1"/>
      <c r="AL1129" s="1" t="s">
        <v>79</v>
      </c>
      <c r="AM1129" s="1" t="s">
        <v>65</v>
      </c>
      <c r="AN1129" s="1" t="s">
        <v>4776</v>
      </c>
      <c r="AO1129" s="2">
        <v>44113.0</v>
      </c>
      <c r="AP1129" s="2">
        <v>44113.7185763889</v>
      </c>
      <c r="AQ1129" s="1" t="s">
        <v>80</v>
      </c>
      <c r="AR1129" s="1" t="s">
        <v>1291</v>
      </c>
      <c r="AS1129" s="1"/>
      <c r="AT1129" s="2">
        <v>44269.931099537</v>
      </c>
    </row>
    <row r="1130" ht="13.5" customHeight="1">
      <c r="A1130" s="1"/>
      <c r="B1130" s="1" t="s">
        <v>46</v>
      </c>
      <c r="C1130" s="1" t="s">
        <v>47</v>
      </c>
      <c r="D1130" s="1"/>
      <c r="E1130" s="1" t="s">
        <v>4777</v>
      </c>
      <c r="F1130" s="1"/>
      <c r="G1130" s="1" t="s">
        <v>49</v>
      </c>
      <c r="H1130" s="1" t="s">
        <v>93</v>
      </c>
      <c r="I1130" s="1">
        <v>300.0</v>
      </c>
      <c r="J1130" s="1"/>
      <c r="K1130" s="1"/>
      <c r="L1130" s="1"/>
      <c r="M1130" s="1" t="s">
        <v>4778</v>
      </c>
      <c r="N1130" s="1" t="s">
        <v>142</v>
      </c>
      <c r="O1130" s="1" t="s">
        <v>143</v>
      </c>
      <c r="P1130" s="2">
        <v>43791.4693055556</v>
      </c>
      <c r="Q1130" s="1" t="s">
        <v>373</v>
      </c>
      <c r="R1130" s="1"/>
      <c r="S1130" s="1"/>
      <c r="T1130" s="1">
        <v>1504422.0</v>
      </c>
      <c r="U1130" s="1" t="s">
        <v>4779</v>
      </c>
      <c r="V1130" s="1" t="s">
        <v>193</v>
      </c>
      <c r="W1130" s="1" t="s">
        <v>177</v>
      </c>
      <c r="X1130" s="1"/>
      <c r="Y1130" s="1"/>
      <c r="Z1130" s="1" t="s">
        <v>147</v>
      </c>
      <c r="AA1130" s="1" t="s">
        <v>4780</v>
      </c>
      <c r="AB1130" s="1" t="str">
        <f>"21449422000119"</f>
        <v>21449422000119</v>
      </c>
      <c r="AC1130" s="1"/>
      <c r="AD1130" s="1" t="s">
        <v>62</v>
      </c>
      <c r="AE1130" s="1"/>
      <c r="AF1130" s="1">
        <v>-48.343887</v>
      </c>
      <c r="AG1130" s="1">
        <v>-1.348056</v>
      </c>
      <c r="AH1130" s="1" t="s">
        <v>4781</v>
      </c>
      <c r="AI1130" s="1"/>
      <c r="AJ1130" s="1" t="s">
        <v>196</v>
      </c>
      <c r="AK1130" s="1"/>
      <c r="AL1130" s="1"/>
      <c r="AM1130" s="1" t="s">
        <v>65</v>
      </c>
      <c r="AN1130" s="1" t="s">
        <v>197</v>
      </c>
      <c r="AO1130" s="1"/>
      <c r="AP1130" s="2">
        <v>43791.4929861111</v>
      </c>
      <c r="AQ1130" s="1"/>
      <c r="AR1130" s="1" t="s">
        <v>280</v>
      </c>
      <c r="AS1130" s="1"/>
      <c r="AT1130" s="2">
        <v>44269.931099537</v>
      </c>
    </row>
    <row r="1131" ht="13.5" customHeight="1">
      <c r="A1131" s="1"/>
      <c r="B1131" s="1" t="s">
        <v>46</v>
      </c>
      <c r="C1131" s="1" t="s">
        <v>47</v>
      </c>
      <c r="D1131" s="1"/>
      <c r="E1131" s="1" t="s">
        <v>4782</v>
      </c>
      <c r="F1131" s="1"/>
      <c r="G1131" s="1" t="s">
        <v>49</v>
      </c>
      <c r="H1131" s="1" t="s">
        <v>50</v>
      </c>
      <c r="I1131" s="1">
        <v>101000.0</v>
      </c>
      <c r="J1131" s="1"/>
      <c r="K1131" s="1" t="s">
        <v>140</v>
      </c>
      <c r="L1131" s="1"/>
      <c r="M1131" s="1" t="s">
        <v>4783</v>
      </c>
      <c r="N1131" s="1" t="s">
        <v>123</v>
      </c>
      <c r="O1131" s="1" t="s">
        <v>73</v>
      </c>
      <c r="P1131" s="2">
        <v>43791.4017708333</v>
      </c>
      <c r="Q1131" s="1" t="s">
        <v>74</v>
      </c>
      <c r="R1131" s="1"/>
      <c r="S1131" s="1"/>
      <c r="T1131" s="1">
        <v>5103353.0</v>
      </c>
      <c r="U1131" s="1" t="s">
        <v>4784</v>
      </c>
      <c r="V1131" s="1" t="s">
        <v>164</v>
      </c>
      <c r="W1131" s="1" t="s">
        <v>177</v>
      </c>
      <c r="X1131" s="1"/>
      <c r="Y1131" s="1"/>
      <c r="Z1131" s="1" t="s">
        <v>76</v>
      </c>
      <c r="AA1131" s="1" t="s">
        <v>4785</v>
      </c>
      <c r="AB1131" s="1" t="str">
        <f>"04892707000100"</f>
        <v>04892707000100</v>
      </c>
      <c r="AC1131" s="1"/>
      <c r="AD1131" s="1" t="s">
        <v>62</v>
      </c>
      <c r="AE1131" s="1"/>
      <c r="AF1131" s="1">
        <v>-51.37875</v>
      </c>
      <c r="AG1131" s="1">
        <v>-10.439028</v>
      </c>
      <c r="AH1131" s="1" t="s">
        <v>4786</v>
      </c>
      <c r="AI1131" s="1"/>
      <c r="AJ1131" s="1" t="s">
        <v>172</v>
      </c>
      <c r="AK1131" s="1"/>
      <c r="AL1131" s="1"/>
      <c r="AM1131" s="1" t="s">
        <v>65</v>
      </c>
      <c r="AN1131" s="1" t="s">
        <v>720</v>
      </c>
      <c r="AO1131" s="1"/>
      <c r="AP1131" s="2">
        <v>44036.7360648148</v>
      </c>
      <c r="AQ1131" s="1"/>
      <c r="AR1131" s="1" t="s">
        <v>494</v>
      </c>
      <c r="AS1131" s="1" t="s">
        <v>4787</v>
      </c>
      <c r="AT1131" s="2">
        <v>44269.931099537</v>
      </c>
    </row>
    <row r="1132" ht="13.5" customHeight="1">
      <c r="A1132" s="1"/>
      <c r="B1132" s="1" t="s">
        <v>46</v>
      </c>
      <c r="C1132" s="1" t="s">
        <v>47</v>
      </c>
      <c r="D1132" s="1"/>
      <c r="E1132" s="1" t="s">
        <v>4788</v>
      </c>
      <c r="F1132" s="1"/>
      <c r="G1132" s="1" t="s">
        <v>49</v>
      </c>
      <c r="H1132" s="1" t="s">
        <v>93</v>
      </c>
      <c r="I1132" s="1">
        <v>1000.0</v>
      </c>
      <c r="J1132" s="1"/>
      <c r="K1132" s="1"/>
      <c r="L1132" s="1"/>
      <c r="M1132" s="1" t="s">
        <v>4789</v>
      </c>
      <c r="N1132" s="1" t="s">
        <v>142</v>
      </c>
      <c r="O1132" s="1" t="s">
        <v>143</v>
      </c>
      <c r="P1132" s="2">
        <v>43791.3851736111</v>
      </c>
      <c r="Q1132" s="1" t="s">
        <v>373</v>
      </c>
      <c r="R1132" s="1"/>
      <c r="S1132" s="1"/>
      <c r="T1132" s="1">
        <v>5205307.0</v>
      </c>
      <c r="U1132" s="1" t="s">
        <v>4790</v>
      </c>
      <c r="V1132" s="1" t="s">
        <v>375</v>
      </c>
      <c r="W1132" s="1" t="s">
        <v>127</v>
      </c>
      <c r="X1132" s="1"/>
      <c r="Y1132" s="1"/>
      <c r="Z1132" s="1" t="s">
        <v>147</v>
      </c>
      <c r="AA1132" s="1" t="s">
        <v>4791</v>
      </c>
      <c r="AB1132" s="1" t="str">
        <f>"***646441**"</f>
        <v>***646441**</v>
      </c>
      <c r="AC1132" s="1"/>
      <c r="AD1132" s="1" t="s">
        <v>62</v>
      </c>
      <c r="AE1132" s="1"/>
      <c r="AF1132" s="1">
        <v>-47.923336</v>
      </c>
      <c r="AG1132" s="1">
        <v>-13.829722</v>
      </c>
      <c r="AH1132" s="1" t="s">
        <v>4792</v>
      </c>
      <c r="AI1132" s="1"/>
      <c r="AJ1132" s="1" t="s">
        <v>371</v>
      </c>
      <c r="AK1132" s="1"/>
      <c r="AL1132" s="1"/>
      <c r="AM1132" s="1" t="s">
        <v>65</v>
      </c>
      <c r="AN1132" s="1" t="s">
        <v>3712</v>
      </c>
      <c r="AO1132" s="1"/>
      <c r="AP1132" s="2">
        <v>43791.402349537</v>
      </c>
      <c r="AQ1132" s="1"/>
      <c r="AR1132" s="1" t="s">
        <v>4793</v>
      </c>
      <c r="AS1132" s="1"/>
      <c r="AT1132" s="2">
        <v>44269.931099537</v>
      </c>
    </row>
    <row r="1133" ht="13.5" customHeight="1">
      <c r="A1133" s="1">
        <v>2038562.0</v>
      </c>
      <c r="B1133" s="1" t="s">
        <v>67</v>
      </c>
      <c r="C1133" s="1" t="s">
        <v>68</v>
      </c>
      <c r="D1133" s="1" t="s">
        <v>46</v>
      </c>
      <c r="E1133" s="1" t="s">
        <v>4794</v>
      </c>
      <c r="F1133" s="1"/>
      <c r="G1133" s="1" t="s">
        <v>70</v>
      </c>
      <c r="H1133" s="1" t="s">
        <v>50</v>
      </c>
      <c r="I1133" s="1">
        <v>50500.0</v>
      </c>
      <c r="J1133" s="1"/>
      <c r="K1133" s="1"/>
      <c r="L1133" s="1" t="s">
        <v>172</v>
      </c>
      <c r="M1133" s="1" t="s">
        <v>4795</v>
      </c>
      <c r="N1133" s="1" t="s">
        <v>72</v>
      </c>
      <c r="O1133" s="1" t="s">
        <v>213</v>
      </c>
      <c r="P1133" s="2">
        <v>43791.3333333333</v>
      </c>
      <c r="Q1133" s="1" t="s">
        <v>74</v>
      </c>
      <c r="R1133" s="1"/>
      <c r="S1133" s="1"/>
      <c r="T1133" s="1">
        <v>5103353.0</v>
      </c>
      <c r="U1133" s="1" t="s">
        <v>4784</v>
      </c>
      <c r="V1133" s="1" t="s">
        <v>164</v>
      </c>
      <c r="W1133" s="1" t="s">
        <v>177</v>
      </c>
      <c r="X1133" s="1"/>
      <c r="Y1133" s="1"/>
      <c r="Z1133" s="1" t="s">
        <v>215</v>
      </c>
      <c r="AA1133" s="1" t="s">
        <v>1543</v>
      </c>
      <c r="AB1133" s="1" t="str">
        <f>"04892707000100"</f>
        <v>04892707000100</v>
      </c>
      <c r="AC1133" s="1"/>
      <c r="AD1133" s="1"/>
      <c r="AE1133" s="1"/>
      <c r="AF1133" s="1">
        <v>-51.37875</v>
      </c>
      <c r="AG1133" s="1">
        <v>-10.439028</v>
      </c>
      <c r="AH1133" s="1" t="s">
        <v>4786</v>
      </c>
      <c r="AI1133" s="1"/>
      <c r="AJ1133" s="1" t="s">
        <v>172</v>
      </c>
      <c r="AK1133" s="1"/>
      <c r="AL1133" s="1" t="s">
        <v>79</v>
      </c>
      <c r="AM1133" s="1" t="s">
        <v>65</v>
      </c>
      <c r="AN1133" s="1" t="s">
        <v>720</v>
      </c>
      <c r="AO1133" s="2">
        <v>44039.0</v>
      </c>
      <c r="AP1133" s="2">
        <v>44039.8049537037</v>
      </c>
      <c r="AQ1133" s="1" t="s">
        <v>80</v>
      </c>
      <c r="AR1133" s="1" t="s">
        <v>909</v>
      </c>
      <c r="AS1133" s="1"/>
      <c r="AT1133" s="2">
        <v>44269.931099537</v>
      </c>
    </row>
    <row r="1134" ht="13.5" customHeight="1">
      <c r="A1134" s="1">
        <v>2039404.0</v>
      </c>
      <c r="B1134" s="1" t="s">
        <v>67</v>
      </c>
      <c r="C1134" s="1" t="s">
        <v>68</v>
      </c>
      <c r="D1134" s="1" t="s">
        <v>46</v>
      </c>
      <c r="E1134" s="1" t="s">
        <v>4796</v>
      </c>
      <c r="F1134" s="1"/>
      <c r="G1134" s="1" t="s">
        <v>70</v>
      </c>
      <c r="H1134" s="1" t="s">
        <v>93</v>
      </c>
      <c r="I1134" s="1">
        <v>41000.0</v>
      </c>
      <c r="J1134" s="1"/>
      <c r="K1134" s="1"/>
      <c r="L1134" s="1" t="s">
        <v>537</v>
      </c>
      <c r="M1134" s="1" t="s">
        <v>4797</v>
      </c>
      <c r="N1134" s="1" t="s">
        <v>142</v>
      </c>
      <c r="O1134" s="1" t="s">
        <v>143</v>
      </c>
      <c r="P1134" s="2">
        <v>43791.2083333333</v>
      </c>
      <c r="Q1134" s="1" t="s">
        <v>373</v>
      </c>
      <c r="R1134" s="3">
        <v>43791.0</v>
      </c>
      <c r="S1134" s="1"/>
      <c r="T1134" s="1">
        <v>2111573.0</v>
      </c>
      <c r="U1134" s="1" t="s">
        <v>4798</v>
      </c>
      <c r="V1134" s="1" t="s">
        <v>540</v>
      </c>
      <c r="W1134" s="1" t="s">
        <v>127</v>
      </c>
      <c r="X1134" s="1"/>
      <c r="Y1134" s="1" t="str">
        <f>"02012002091202066"</f>
        <v>02012002091202066</v>
      </c>
      <c r="Z1134" s="1" t="s">
        <v>147</v>
      </c>
      <c r="AA1134" s="1" t="s">
        <v>4799</v>
      </c>
      <c r="AB1134" s="1" t="str">
        <f>"***548241**"</f>
        <v>***548241**</v>
      </c>
      <c r="AC1134" s="1"/>
      <c r="AD1134" s="1"/>
      <c r="AE1134" s="1"/>
      <c r="AF1134" s="1">
        <v>-46.493057</v>
      </c>
      <c r="AG1134" s="1">
        <v>-6.785278</v>
      </c>
      <c r="AH1134" s="1" t="s">
        <v>4800</v>
      </c>
      <c r="AI1134" s="1"/>
      <c r="AJ1134" s="1" t="s">
        <v>537</v>
      </c>
      <c r="AK1134" s="1"/>
      <c r="AL1134" s="1" t="s">
        <v>79</v>
      </c>
      <c r="AM1134" s="1" t="s">
        <v>65</v>
      </c>
      <c r="AN1134" s="1" t="s">
        <v>4203</v>
      </c>
      <c r="AO1134" s="2">
        <v>44061.0</v>
      </c>
      <c r="AP1134" s="2">
        <v>44061.7262037037</v>
      </c>
      <c r="AQ1134" s="1" t="s">
        <v>80</v>
      </c>
      <c r="AR1134" s="1" t="s">
        <v>2065</v>
      </c>
      <c r="AS1134" s="1"/>
      <c r="AT1134" s="2">
        <v>44269.931099537</v>
      </c>
    </row>
    <row r="1135" ht="13.5" customHeight="1">
      <c r="A1135" s="1">
        <v>2039244.0</v>
      </c>
      <c r="B1135" s="1" t="s">
        <v>67</v>
      </c>
      <c r="C1135" s="1" t="s">
        <v>68</v>
      </c>
      <c r="D1135" s="1" t="s">
        <v>46</v>
      </c>
      <c r="E1135" s="1" t="s">
        <v>4801</v>
      </c>
      <c r="F1135" s="1"/>
      <c r="G1135" s="1" t="s">
        <v>70</v>
      </c>
      <c r="H1135" s="1" t="s">
        <v>93</v>
      </c>
      <c r="I1135" s="1">
        <v>17500.0</v>
      </c>
      <c r="J1135" s="1"/>
      <c r="K1135" s="1"/>
      <c r="L1135" s="1" t="s">
        <v>569</v>
      </c>
      <c r="M1135" s="1" t="s">
        <v>4802</v>
      </c>
      <c r="N1135" s="1" t="s">
        <v>95</v>
      </c>
      <c r="O1135" s="1" t="s">
        <v>96</v>
      </c>
      <c r="P1135" s="2">
        <v>43791.0833333333</v>
      </c>
      <c r="Q1135" s="1" t="s">
        <v>373</v>
      </c>
      <c r="R1135" s="3">
        <v>43791.0</v>
      </c>
      <c r="S1135" s="1"/>
      <c r="T1135" s="1">
        <v>2804102.0</v>
      </c>
      <c r="U1135" s="1" t="s">
        <v>1307</v>
      </c>
      <c r="V1135" s="1" t="s">
        <v>566</v>
      </c>
      <c r="W1135" s="1" t="s">
        <v>113</v>
      </c>
      <c r="X1135" s="1"/>
      <c r="Y1135" s="1" t="str">
        <f>"02028001773201949"</f>
        <v>02028001773201949</v>
      </c>
      <c r="Z1135" s="1" t="s">
        <v>98</v>
      </c>
      <c r="AA1135" s="1" t="s">
        <v>4803</v>
      </c>
      <c r="AB1135" s="1" t="str">
        <f>"***145115**"</f>
        <v>***145115**</v>
      </c>
      <c r="AC1135" s="1"/>
      <c r="AD1135" s="1"/>
      <c r="AE1135" s="1"/>
      <c r="AF1135" s="1">
        <v>-37.334442</v>
      </c>
      <c r="AG1135" s="1">
        <v>-10.577778</v>
      </c>
      <c r="AH1135" s="1" t="s">
        <v>4804</v>
      </c>
      <c r="AI1135" s="1"/>
      <c r="AJ1135" s="1" t="s">
        <v>569</v>
      </c>
      <c r="AK1135" s="1"/>
      <c r="AL1135" s="1" t="s">
        <v>79</v>
      </c>
      <c r="AM1135" s="1" t="s">
        <v>65</v>
      </c>
      <c r="AN1135" s="1" t="s">
        <v>4739</v>
      </c>
      <c r="AO1135" s="2">
        <v>44057.0</v>
      </c>
      <c r="AP1135" s="2">
        <v>44057.4847916667</v>
      </c>
      <c r="AQ1135" s="1" t="s">
        <v>80</v>
      </c>
      <c r="AR1135" s="1" t="s">
        <v>4805</v>
      </c>
      <c r="AS1135" s="1"/>
      <c r="AT1135" s="2">
        <v>44269.931099537</v>
      </c>
    </row>
    <row r="1136" ht="13.5" customHeight="1">
      <c r="A1136" s="1"/>
      <c r="B1136" s="1" t="s">
        <v>46</v>
      </c>
      <c r="C1136" s="1" t="s">
        <v>47</v>
      </c>
      <c r="D1136" s="1"/>
      <c r="E1136" s="1" t="s">
        <v>4806</v>
      </c>
      <c r="F1136" s="1"/>
      <c r="G1136" s="1" t="s">
        <v>49</v>
      </c>
      <c r="H1136" s="1" t="s">
        <v>93</v>
      </c>
      <c r="I1136" s="1">
        <v>9000.0</v>
      </c>
      <c r="J1136" s="1"/>
      <c r="K1136" s="1"/>
      <c r="L1136" s="1"/>
      <c r="M1136" s="1" t="s">
        <v>4807</v>
      </c>
      <c r="N1136" s="1" t="s">
        <v>142</v>
      </c>
      <c r="O1136" s="1" t="s">
        <v>143</v>
      </c>
      <c r="P1136" s="2">
        <v>43790.9216666667</v>
      </c>
      <c r="Q1136" s="1" t="s">
        <v>55</v>
      </c>
      <c r="R1136" s="1"/>
      <c r="S1136" s="1"/>
      <c r="T1136" s="1">
        <v>1718840.0</v>
      </c>
      <c r="U1136" s="1" t="s">
        <v>4808</v>
      </c>
      <c r="V1136" s="1" t="s">
        <v>2156</v>
      </c>
      <c r="W1136" s="1" t="s">
        <v>127</v>
      </c>
      <c r="X1136" s="1"/>
      <c r="Y1136" s="1"/>
      <c r="Z1136" s="1" t="s">
        <v>147</v>
      </c>
      <c r="AA1136" s="1" t="s">
        <v>4809</v>
      </c>
      <c r="AB1136" s="1" t="str">
        <f>"***590111**"</f>
        <v>***590111**</v>
      </c>
      <c r="AC1136" s="1"/>
      <c r="AD1136" s="1" t="s">
        <v>116</v>
      </c>
      <c r="AE1136" s="1"/>
      <c r="AF1136" s="1">
        <v>-49.996387</v>
      </c>
      <c r="AG1136" s="1">
        <v>-12.661111</v>
      </c>
      <c r="AH1136" s="1" t="s">
        <v>4810</v>
      </c>
      <c r="AI1136" s="1"/>
      <c r="AJ1136" s="1" t="s">
        <v>386</v>
      </c>
      <c r="AK1136" s="1"/>
      <c r="AL1136" s="1"/>
      <c r="AM1136" s="1" t="s">
        <v>65</v>
      </c>
      <c r="AN1136" s="1" t="s">
        <v>4237</v>
      </c>
      <c r="AO1136" s="1"/>
      <c r="AP1136" s="2">
        <v>43790.9280671296</v>
      </c>
      <c r="AQ1136" s="1"/>
      <c r="AR1136" s="1" t="s">
        <v>229</v>
      </c>
      <c r="AS1136" s="1" t="s">
        <v>4811</v>
      </c>
      <c r="AT1136" s="2">
        <v>44269.931099537</v>
      </c>
    </row>
    <row r="1137" ht="13.5" customHeight="1">
      <c r="A1137" s="1"/>
      <c r="B1137" s="1" t="s">
        <v>46</v>
      </c>
      <c r="C1137" s="1" t="s">
        <v>47</v>
      </c>
      <c r="D1137" s="1"/>
      <c r="E1137" s="1" t="s">
        <v>4812</v>
      </c>
      <c r="F1137" s="1"/>
      <c r="G1137" s="1" t="s">
        <v>49</v>
      </c>
      <c r="H1137" s="1" t="s">
        <v>93</v>
      </c>
      <c r="I1137" s="1">
        <v>7378.5</v>
      </c>
      <c r="J1137" s="1"/>
      <c r="K1137" s="1"/>
      <c r="L1137" s="1"/>
      <c r="M1137" s="1" t="s">
        <v>4813</v>
      </c>
      <c r="N1137" s="1" t="s">
        <v>142</v>
      </c>
      <c r="O1137" s="1" t="s">
        <v>143</v>
      </c>
      <c r="P1137" s="2">
        <v>43790.8761458333</v>
      </c>
      <c r="Q1137" s="1" t="s">
        <v>373</v>
      </c>
      <c r="R1137" s="1"/>
      <c r="S1137" s="1"/>
      <c r="T1137" s="1">
        <v>5218003.0</v>
      </c>
      <c r="U1137" s="1" t="s">
        <v>3709</v>
      </c>
      <c r="V1137" s="1" t="s">
        <v>375</v>
      </c>
      <c r="W1137" s="1" t="s">
        <v>177</v>
      </c>
      <c r="X1137" s="1"/>
      <c r="Y1137" s="1"/>
      <c r="Z1137" s="1" t="s">
        <v>147</v>
      </c>
      <c r="AA1137" s="1" t="s">
        <v>4814</v>
      </c>
      <c r="AB1137" s="1" t="str">
        <f>"17661219000167"</f>
        <v>17661219000167</v>
      </c>
      <c r="AC1137" s="1"/>
      <c r="AD1137" s="1" t="s">
        <v>62</v>
      </c>
      <c r="AE1137" s="1"/>
      <c r="AF1137" s="1">
        <v>-49.131386</v>
      </c>
      <c r="AG1137" s="1">
        <v>-13.406388</v>
      </c>
      <c r="AH1137" s="1" t="s">
        <v>4815</v>
      </c>
      <c r="AI1137" s="1"/>
      <c r="AJ1137" s="1" t="s">
        <v>371</v>
      </c>
      <c r="AK1137" s="1"/>
      <c r="AL1137" s="1"/>
      <c r="AM1137" s="1" t="s">
        <v>65</v>
      </c>
      <c r="AN1137" s="1" t="s">
        <v>3712</v>
      </c>
      <c r="AO1137" s="1"/>
      <c r="AP1137" s="2">
        <v>43790.8839583333</v>
      </c>
      <c r="AQ1137" s="1"/>
      <c r="AR1137" s="1" t="s">
        <v>280</v>
      </c>
      <c r="AS1137" s="1"/>
      <c r="AT1137" s="2">
        <v>44269.931099537</v>
      </c>
    </row>
    <row r="1138" ht="13.5" customHeight="1">
      <c r="A1138" s="1"/>
      <c r="B1138" s="1" t="s">
        <v>46</v>
      </c>
      <c r="C1138" s="1" t="s">
        <v>47</v>
      </c>
      <c r="D1138" s="1"/>
      <c r="E1138" s="1" t="s">
        <v>4816</v>
      </c>
      <c r="F1138" s="1"/>
      <c r="G1138" s="1" t="s">
        <v>49</v>
      </c>
      <c r="H1138" s="1" t="s">
        <v>93</v>
      </c>
      <c r="I1138" s="1">
        <v>9223.2</v>
      </c>
      <c r="J1138" s="1"/>
      <c r="K1138" s="1"/>
      <c r="L1138" s="1"/>
      <c r="M1138" s="1" t="s">
        <v>4817</v>
      </c>
      <c r="N1138" s="1" t="s">
        <v>142</v>
      </c>
      <c r="O1138" s="1" t="s">
        <v>143</v>
      </c>
      <c r="P1138" s="2">
        <v>43790.833900463</v>
      </c>
      <c r="Q1138" s="1" t="s">
        <v>373</v>
      </c>
      <c r="R1138" s="1"/>
      <c r="S1138" s="1"/>
      <c r="T1138" s="1">
        <v>5218003.0</v>
      </c>
      <c r="U1138" s="1" t="s">
        <v>3709</v>
      </c>
      <c r="V1138" s="1" t="s">
        <v>375</v>
      </c>
      <c r="W1138" s="1" t="s">
        <v>177</v>
      </c>
      <c r="X1138" s="1"/>
      <c r="Y1138" s="1"/>
      <c r="Z1138" s="1" t="s">
        <v>147</v>
      </c>
      <c r="AA1138" s="1" t="s">
        <v>4818</v>
      </c>
      <c r="AB1138" s="1" t="str">
        <f>"***060871**"</f>
        <v>***060871**</v>
      </c>
      <c r="AC1138" s="1"/>
      <c r="AD1138" s="1" t="s">
        <v>62</v>
      </c>
      <c r="AE1138" s="1"/>
      <c r="AF1138" s="1">
        <v>-49.131386</v>
      </c>
      <c r="AG1138" s="1">
        <v>-13.406388</v>
      </c>
      <c r="AH1138" s="1" t="s">
        <v>4819</v>
      </c>
      <c r="AI1138" s="1"/>
      <c r="AJ1138" s="1" t="s">
        <v>371</v>
      </c>
      <c r="AK1138" s="1"/>
      <c r="AL1138" s="1"/>
      <c r="AM1138" s="1" t="s">
        <v>65</v>
      </c>
      <c r="AN1138" s="1" t="s">
        <v>3712</v>
      </c>
      <c r="AO1138" s="1"/>
      <c r="AP1138" s="2">
        <v>43790.8403125</v>
      </c>
      <c r="AQ1138" s="1"/>
      <c r="AR1138" s="1" t="s">
        <v>280</v>
      </c>
      <c r="AS1138" s="1"/>
      <c r="AT1138" s="2">
        <v>44269.931099537</v>
      </c>
    </row>
    <row r="1139" ht="13.5" customHeight="1">
      <c r="A1139" s="1"/>
      <c r="B1139" s="1" t="s">
        <v>46</v>
      </c>
      <c r="C1139" s="1" t="s">
        <v>47</v>
      </c>
      <c r="D1139" s="1"/>
      <c r="E1139" s="1" t="s">
        <v>4820</v>
      </c>
      <c r="F1139" s="1"/>
      <c r="G1139" s="1"/>
      <c r="H1139" s="1" t="s">
        <v>93</v>
      </c>
      <c r="I1139" s="1">
        <v>255000.0</v>
      </c>
      <c r="J1139" s="1"/>
      <c r="K1139" s="1"/>
      <c r="L1139" s="1"/>
      <c r="M1139" s="1" t="s">
        <v>4821</v>
      </c>
      <c r="N1139" s="1" t="s">
        <v>142</v>
      </c>
      <c r="O1139" s="1" t="s">
        <v>143</v>
      </c>
      <c r="P1139" s="2">
        <v>43790.8078240741</v>
      </c>
      <c r="Q1139" s="1" t="s">
        <v>74</v>
      </c>
      <c r="R1139" s="3">
        <v>43732.0</v>
      </c>
      <c r="S1139" s="1"/>
      <c r="T1139" s="1">
        <v>1708205.0</v>
      </c>
      <c r="U1139" s="1" t="s">
        <v>4234</v>
      </c>
      <c r="V1139" s="1" t="s">
        <v>2156</v>
      </c>
      <c r="W1139" s="1" t="s">
        <v>127</v>
      </c>
      <c r="X1139" s="1"/>
      <c r="Y1139" s="1"/>
      <c r="Z1139" s="1" t="s">
        <v>147</v>
      </c>
      <c r="AA1139" s="1" t="s">
        <v>4822</v>
      </c>
      <c r="AB1139" s="1" t="str">
        <f>"***510286**"</f>
        <v>***510286**</v>
      </c>
      <c r="AC1139" s="1"/>
      <c r="AD1139" s="1" t="s">
        <v>116</v>
      </c>
      <c r="AE1139" s="1"/>
      <c r="AF1139" s="1">
        <v>-49.69389</v>
      </c>
      <c r="AG1139" s="1">
        <v>-12.14</v>
      </c>
      <c r="AH1139" s="1" t="s">
        <v>4823</v>
      </c>
      <c r="AI1139" s="1"/>
      <c r="AJ1139" s="1" t="s">
        <v>386</v>
      </c>
      <c r="AK1139" s="1"/>
      <c r="AL1139" s="1"/>
      <c r="AM1139" s="1" t="s">
        <v>65</v>
      </c>
      <c r="AN1139" s="1" t="s">
        <v>4237</v>
      </c>
      <c r="AO1139" s="1"/>
      <c r="AP1139" s="2">
        <v>43790.8143171296</v>
      </c>
      <c r="AQ1139" s="1"/>
      <c r="AR1139" s="1" t="s">
        <v>2055</v>
      </c>
      <c r="AS1139" s="1"/>
      <c r="AT1139" s="2">
        <v>44269.931099537</v>
      </c>
    </row>
    <row r="1140" ht="13.5" customHeight="1">
      <c r="A1140" s="1">
        <v>2035166.0</v>
      </c>
      <c r="B1140" s="1" t="s">
        <v>67</v>
      </c>
      <c r="C1140" s="1" t="s">
        <v>68</v>
      </c>
      <c r="D1140" s="1" t="s">
        <v>46</v>
      </c>
      <c r="E1140" s="1" t="s">
        <v>4824</v>
      </c>
      <c r="F1140" s="1"/>
      <c r="G1140" s="1" t="s">
        <v>70</v>
      </c>
      <c r="H1140" s="1" t="s">
        <v>93</v>
      </c>
      <c r="I1140" s="1">
        <v>10500.0</v>
      </c>
      <c r="J1140" s="1"/>
      <c r="K1140" s="1"/>
      <c r="L1140" s="1" t="s">
        <v>151</v>
      </c>
      <c r="M1140" s="1" t="s">
        <v>4825</v>
      </c>
      <c r="N1140" s="1" t="s">
        <v>142</v>
      </c>
      <c r="O1140" s="1" t="s">
        <v>143</v>
      </c>
      <c r="P1140" s="2">
        <v>43790.7916666667</v>
      </c>
      <c r="Q1140" s="1" t="s">
        <v>373</v>
      </c>
      <c r="R1140" s="3">
        <v>43790.0</v>
      </c>
      <c r="S1140" s="1"/>
      <c r="T1140" s="1">
        <v>4317400.0</v>
      </c>
      <c r="U1140" s="1" t="s">
        <v>4826</v>
      </c>
      <c r="V1140" s="1" t="s">
        <v>145</v>
      </c>
      <c r="W1140" s="1" t="s">
        <v>146</v>
      </c>
      <c r="X1140" s="1"/>
      <c r="Y1140" s="1" t="str">
        <f>"02023000825202043"</f>
        <v>02023000825202043</v>
      </c>
      <c r="Z1140" s="1" t="s">
        <v>147</v>
      </c>
      <c r="AA1140" s="1" t="s">
        <v>4827</v>
      </c>
      <c r="AB1140" s="1" t="str">
        <f>"***747570**"</f>
        <v>***747570**</v>
      </c>
      <c r="AC1140" s="1"/>
      <c r="AD1140" s="1"/>
      <c r="AE1140" s="1"/>
      <c r="AF1140" s="1">
        <v>-54.457779</v>
      </c>
      <c r="AG1140" s="1">
        <v>-29.255556</v>
      </c>
      <c r="AH1140" s="1" t="s">
        <v>4828</v>
      </c>
      <c r="AI1140" s="1"/>
      <c r="AJ1140" s="1" t="s">
        <v>151</v>
      </c>
      <c r="AK1140" s="1"/>
      <c r="AL1140" s="1" t="s">
        <v>79</v>
      </c>
      <c r="AM1140" s="1" t="s">
        <v>65</v>
      </c>
      <c r="AN1140" s="1" t="s">
        <v>709</v>
      </c>
      <c r="AO1140" s="2">
        <v>43896.0</v>
      </c>
      <c r="AP1140" s="2">
        <v>43896.4346527778</v>
      </c>
      <c r="AQ1140" s="1" t="s">
        <v>80</v>
      </c>
      <c r="AR1140" s="1" t="s">
        <v>3298</v>
      </c>
      <c r="AS1140" s="1"/>
      <c r="AT1140" s="2">
        <v>44269.931099537</v>
      </c>
    </row>
    <row r="1141" ht="13.5" customHeight="1">
      <c r="A1141" s="1">
        <v>2038468.0</v>
      </c>
      <c r="B1141" s="1" t="s">
        <v>67</v>
      </c>
      <c r="C1141" s="1" t="s">
        <v>68</v>
      </c>
      <c r="D1141" s="1" t="s">
        <v>46</v>
      </c>
      <c r="E1141" s="1" t="s">
        <v>4829</v>
      </c>
      <c r="F1141" s="1"/>
      <c r="G1141" s="1" t="s">
        <v>70</v>
      </c>
      <c r="H1141" s="1" t="s">
        <v>93</v>
      </c>
      <c r="I1141" s="1">
        <v>120000.0</v>
      </c>
      <c r="J1141" s="1"/>
      <c r="K1141" s="1"/>
      <c r="L1141" s="1" t="s">
        <v>1172</v>
      </c>
      <c r="M1141" s="1" t="s">
        <v>4830</v>
      </c>
      <c r="N1141" s="1" t="s">
        <v>142</v>
      </c>
      <c r="O1141" s="1" t="s">
        <v>143</v>
      </c>
      <c r="P1141" s="2">
        <v>43790.7916666667</v>
      </c>
      <c r="Q1141" s="1" t="s">
        <v>74</v>
      </c>
      <c r="R1141" s="3">
        <v>43790.0</v>
      </c>
      <c r="S1141" s="1"/>
      <c r="T1141" s="1">
        <v>1505486.0</v>
      </c>
      <c r="U1141" s="1" t="s">
        <v>3446</v>
      </c>
      <c r="V1141" s="1" t="s">
        <v>193</v>
      </c>
      <c r="W1141" s="1" t="s">
        <v>177</v>
      </c>
      <c r="X1141" s="1"/>
      <c r="Y1141" s="1"/>
      <c r="Z1141" s="1" t="s">
        <v>147</v>
      </c>
      <c r="AA1141" s="1" t="s">
        <v>4831</v>
      </c>
      <c r="AB1141" s="1" t="str">
        <f t="shared" ref="AB1141:AB1142" si="62">"***458703**"</f>
        <v>***458703**</v>
      </c>
      <c r="AC1141" s="1"/>
      <c r="AD1141" s="1"/>
      <c r="AE1141" s="1"/>
      <c r="AF1141" s="1">
        <v>-50.104164</v>
      </c>
      <c r="AG1141" s="1">
        <v>-3.847778</v>
      </c>
      <c r="AH1141" s="1" t="s">
        <v>4832</v>
      </c>
      <c r="AI1141" s="1"/>
      <c r="AJ1141" s="1" t="s">
        <v>1172</v>
      </c>
      <c r="AK1141" s="1"/>
      <c r="AL1141" s="1" t="s">
        <v>79</v>
      </c>
      <c r="AM1141" s="1" t="s">
        <v>65</v>
      </c>
      <c r="AN1141" s="1" t="s">
        <v>3087</v>
      </c>
      <c r="AO1141" s="2">
        <v>44035.0</v>
      </c>
      <c r="AP1141" s="2">
        <v>44035.5754976852</v>
      </c>
      <c r="AQ1141" s="1" t="s">
        <v>80</v>
      </c>
      <c r="AR1141" s="1" t="s">
        <v>1607</v>
      </c>
      <c r="AS1141" s="1"/>
      <c r="AT1141" s="2">
        <v>44269.931099537</v>
      </c>
    </row>
    <row r="1142" ht="13.5" customHeight="1">
      <c r="A1142" s="1">
        <v>2038469.0</v>
      </c>
      <c r="B1142" s="1" t="s">
        <v>67</v>
      </c>
      <c r="C1142" s="1" t="s">
        <v>68</v>
      </c>
      <c r="D1142" s="1" t="s">
        <v>46</v>
      </c>
      <c r="E1142" s="1" t="s">
        <v>4833</v>
      </c>
      <c r="F1142" s="1"/>
      <c r="G1142" s="1" t="s">
        <v>70</v>
      </c>
      <c r="H1142" s="1" t="s">
        <v>93</v>
      </c>
      <c r="I1142" s="1">
        <v>85000.0</v>
      </c>
      <c r="J1142" s="1"/>
      <c r="K1142" s="1"/>
      <c r="L1142" s="1" t="s">
        <v>1172</v>
      </c>
      <c r="M1142" s="1" t="s">
        <v>4834</v>
      </c>
      <c r="N1142" s="1" t="s">
        <v>142</v>
      </c>
      <c r="O1142" s="1" t="s">
        <v>143</v>
      </c>
      <c r="P1142" s="2">
        <v>43790.7916666667</v>
      </c>
      <c r="Q1142" s="1" t="s">
        <v>74</v>
      </c>
      <c r="R1142" s="3">
        <v>43789.0</v>
      </c>
      <c r="S1142" s="1"/>
      <c r="T1142" s="1">
        <v>1505486.0</v>
      </c>
      <c r="U1142" s="1" t="s">
        <v>3446</v>
      </c>
      <c r="V1142" s="1" t="s">
        <v>193</v>
      </c>
      <c r="W1142" s="1" t="s">
        <v>177</v>
      </c>
      <c r="X1142" s="1"/>
      <c r="Y1142" s="1"/>
      <c r="Z1142" s="1" t="s">
        <v>147</v>
      </c>
      <c r="AA1142" s="1" t="s">
        <v>4831</v>
      </c>
      <c r="AB1142" s="1" t="str">
        <f t="shared" si="62"/>
        <v>***458703**</v>
      </c>
      <c r="AC1142" s="1"/>
      <c r="AD1142" s="1"/>
      <c r="AE1142" s="1"/>
      <c r="AF1142" s="1">
        <v>-50.104164</v>
      </c>
      <c r="AG1142" s="1">
        <v>-3.847778</v>
      </c>
      <c r="AH1142" s="1" t="s">
        <v>4832</v>
      </c>
      <c r="AI1142" s="1"/>
      <c r="AJ1142" s="1" t="s">
        <v>1172</v>
      </c>
      <c r="AK1142" s="1"/>
      <c r="AL1142" s="1" t="s">
        <v>79</v>
      </c>
      <c r="AM1142" s="1" t="s">
        <v>65</v>
      </c>
      <c r="AN1142" s="1" t="s">
        <v>3087</v>
      </c>
      <c r="AO1142" s="2">
        <v>44035.0</v>
      </c>
      <c r="AP1142" s="2">
        <v>44035.5763657407</v>
      </c>
      <c r="AQ1142" s="1" t="s">
        <v>80</v>
      </c>
      <c r="AR1142" s="1" t="s">
        <v>392</v>
      </c>
      <c r="AS1142" s="1"/>
      <c r="AT1142" s="2">
        <v>44269.931099537</v>
      </c>
    </row>
    <row r="1143" ht="13.5" customHeight="1">
      <c r="A1143" s="1"/>
      <c r="B1143" s="1" t="s">
        <v>46</v>
      </c>
      <c r="C1143" s="1" t="s">
        <v>47</v>
      </c>
      <c r="D1143" s="1"/>
      <c r="E1143" s="1" t="s">
        <v>4835</v>
      </c>
      <c r="F1143" s="1"/>
      <c r="G1143" s="1" t="s">
        <v>49</v>
      </c>
      <c r="H1143" s="1" t="s">
        <v>93</v>
      </c>
      <c r="I1143" s="1">
        <v>11067.6</v>
      </c>
      <c r="J1143" s="1"/>
      <c r="K1143" s="1"/>
      <c r="L1143" s="1"/>
      <c r="M1143" s="1" t="s">
        <v>4836</v>
      </c>
      <c r="N1143" s="1" t="s">
        <v>142</v>
      </c>
      <c r="O1143" s="1" t="s">
        <v>143</v>
      </c>
      <c r="P1143" s="2">
        <v>43790.7515856482</v>
      </c>
      <c r="Q1143" s="1" t="s">
        <v>373</v>
      </c>
      <c r="R1143" s="1"/>
      <c r="S1143" s="1"/>
      <c r="T1143" s="1">
        <v>5218003.0</v>
      </c>
      <c r="U1143" s="1" t="s">
        <v>3709</v>
      </c>
      <c r="V1143" s="1" t="s">
        <v>375</v>
      </c>
      <c r="W1143" s="1" t="s">
        <v>177</v>
      </c>
      <c r="X1143" s="1"/>
      <c r="Y1143" s="1"/>
      <c r="Z1143" s="1" t="s">
        <v>147</v>
      </c>
      <c r="AA1143" s="1" t="s">
        <v>4837</v>
      </c>
      <c r="AB1143" s="1" t="str">
        <f>"***070241**"</f>
        <v>***070241**</v>
      </c>
      <c r="AC1143" s="1"/>
      <c r="AD1143" s="1" t="s">
        <v>62</v>
      </c>
      <c r="AE1143" s="1"/>
      <c r="AF1143" s="1">
        <v>-49.131386</v>
      </c>
      <c r="AG1143" s="1">
        <v>-13.406388</v>
      </c>
      <c r="AH1143" s="1" t="s">
        <v>4815</v>
      </c>
      <c r="AI1143" s="1"/>
      <c r="AJ1143" s="1" t="s">
        <v>371</v>
      </c>
      <c r="AK1143" s="1"/>
      <c r="AL1143" s="1"/>
      <c r="AM1143" s="1" t="s">
        <v>65</v>
      </c>
      <c r="AN1143" s="1" t="s">
        <v>3712</v>
      </c>
      <c r="AO1143" s="1"/>
      <c r="AP1143" s="2">
        <v>43790.7667476852</v>
      </c>
      <c r="AQ1143" s="1"/>
      <c r="AR1143" s="1" t="s">
        <v>280</v>
      </c>
      <c r="AS1143" s="1"/>
      <c r="AT1143" s="2">
        <v>44269.931099537</v>
      </c>
    </row>
    <row r="1144" ht="13.5" customHeight="1">
      <c r="A1144" s="1">
        <v>2035165.0</v>
      </c>
      <c r="B1144" s="1" t="s">
        <v>67</v>
      </c>
      <c r="C1144" s="1" t="s">
        <v>68</v>
      </c>
      <c r="D1144" s="1" t="s">
        <v>46</v>
      </c>
      <c r="E1144" s="1" t="s">
        <v>4838</v>
      </c>
      <c r="F1144" s="1"/>
      <c r="G1144" s="1" t="s">
        <v>70</v>
      </c>
      <c r="H1144" s="1" t="s">
        <v>93</v>
      </c>
      <c r="I1144" s="1">
        <v>10500.0</v>
      </c>
      <c r="J1144" s="1"/>
      <c r="K1144" s="1"/>
      <c r="L1144" s="1" t="s">
        <v>151</v>
      </c>
      <c r="M1144" s="1" t="s">
        <v>4825</v>
      </c>
      <c r="N1144" s="1" t="s">
        <v>142</v>
      </c>
      <c r="O1144" s="1" t="s">
        <v>143</v>
      </c>
      <c r="P1144" s="2">
        <v>43790.75</v>
      </c>
      <c r="Q1144" s="1" t="s">
        <v>373</v>
      </c>
      <c r="R1144" s="3">
        <v>43790.0</v>
      </c>
      <c r="S1144" s="1"/>
      <c r="T1144" s="1">
        <v>4317400.0</v>
      </c>
      <c r="U1144" s="1" t="s">
        <v>4826</v>
      </c>
      <c r="V1144" s="1" t="s">
        <v>145</v>
      </c>
      <c r="W1144" s="1" t="s">
        <v>146</v>
      </c>
      <c r="X1144" s="1"/>
      <c r="Y1144" s="1" t="str">
        <f>"02023000824202007"</f>
        <v>02023000824202007</v>
      </c>
      <c r="Z1144" s="1" t="s">
        <v>147</v>
      </c>
      <c r="AA1144" s="1" t="s">
        <v>4839</v>
      </c>
      <c r="AB1144" s="1" t="str">
        <f>"***026250**"</f>
        <v>***026250**</v>
      </c>
      <c r="AC1144" s="1"/>
      <c r="AD1144" s="1"/>
      <c r="AE1144" s="1"/>
      <c r="AF1144" s="1">
        <v>-54.457779</v>
      </c>
      <c r="AG1144" s="1">
        <v>-29.255556</v>
      </c>
      <c r="AH1144" s="1" t="s">
        <v>4840</v>
      </c>
      <c r="AI1144" s="1"/>
      <c r="AJ1144" s="1" t="s">
        <v>151</v>
      </c>
      <c r="AK1144" s="1"/>
      <c r="AL1144" s="1" t="s">
        <v>79</v>
      </c>
      <c r="AM1144" s="1" t="s">
        <v>65</v>
      </c>
      <c r="AN1144" s="1" t="s">
        <v>709</v>
      </c>
      <c r="AO1144" s="2">
        <v>43896.0</v>
      </c>
      <c r="AP1144" s="2">
        <v>43896.4343171296</v>
      </c>
      <c r="AQ1144" s="1" t="s">
        <v>80</v>
      </c>
      <c r="AR1144" s="1" t="s">
        <v>3298</v>
      </c>
      <c r="AS1144" s="1"/>
      <c r="AT1144" s="2">
        <v>44269.931099537</v>
      </c>
    </row>
    <row r="1145" ht="13.5" customHeight="1">
      <c r="A1145" s="1">
        <v>2038467.0</v>
      </c>
      <c r="B1145" s="1" t="s">
        <v>67</v>
      </c>
      <c r="C1145" s="1" t="s">
        <v>68</v>
      </c>
      <c r="D1145" s="1" t="s">
        <v>46</v>
      </c>
      <c r="E1145" s="1" t="s">
        <v>4841</v>
      </c>
      <c r="F1145" s="1"/>
      <c r="G1145" s="1" t="s">
        <v>70</v>
      </c>
      <c r="H1145" s="1" t="s">
        <v>93</v>
      </c>
      <c r="I1145" s="1">
        <v>110000.0</v>
      </c>
      <c r="J1145" s="1"/>
      <c r="K1145" s="1"/>
      <c r="L1145" s="1" t="s">
        <v>1172</v>
      </c>
      <c r="M1145" s="1" t="s">
        <v>4842</v>
      </c>
      <c r="N1145" s="1" t="s">
        <v>142</v>
      </c>
      <c r="O1145" s="1" t="s">
        <v>143</v>
      </c>
      <c r="P1145" s="2">
        <v>43790.75</v>
      </c>
      <c r="Q1145" s="1" t="s">
        <v>74</v>
      </c>
      <c r="R1145" s="3">
        <v>43790.0</v>
      </c>
      <c r="S1145" s="1"/>
      <c r="T1145" s="1">
        <v>1505486.0</v>
      </c>
      <c r="U1145" s="1" t="s">
        <v>3446</v>
      </c>
      <c r="V1145" s="1" t="s">
        <v>193</v>
      </c>
      <c r="W1145" s="1" t="s">
        <v>177</v>
      </c>
      <c r="X1145" s="1"/>
      <c r="Y1145" s="1"/>
      <c r="Z1145" s="1" t="s">
        <v>147</v>
      </c>
      <c r="AA1145" s="1" t="s">
        <v>4831</v>
      </c>
      <c r="AB1145" s="1" t="str">
        <f>"***458703**"</f>
        <v>***458703**</v>
      </c>
      <c r="AC1145" s="1"/>
      <c r="AD1145" s="1"/>
      <c r="AE1145" s="1"/>
      <c r="AF1145" s="1">
        <v>-50.130276</v>
      </c>
      <c r="AG1145" s="1">
        <v>-3.864167</v>
      </c>
      <c r="AH1145" s="1" t="s">
        <v>4843</v>
      </c>
      <c r="AI1145" s="1"/>
      <c r="AJ1145" s="1" t="s">
        <v>1172</v>
      </c>
      <c r="AK1145" s="1"/>
      <c r="AL1145" s="1" t="s">
        <v>79</v>
      </c>
      <c r="AM1145" s="1" t="s">
        <v>65</v>
      </c>
      <c r="AN1145" s="1" t="s">
        <v>3087</v>
      </c>
      <c r="AO1145" s="2">
        <v>44035.0</v>
      </c>
      <c r="AP1145" s="2">
        <v>44035.5740162037</v>
      </c>
      <c r="AQ1145" s="1" t="s">
        <v>80</v>
      </c>
      <c r="AR1145" s="1" t="s">
        <v>421</v>
      </c>
      <c r="AS1145" s="1" t="s">
        <v>4844</v>
      </c>
      <c r="AT1145" s="2">
        <v>44269.931099537</v>
      </c>
    </row>
    <row r="1146" ht="13.5" customHeight="1">
      <c r="A1146" s="1"/>
      <c r="B1146" s="1" t="s">
        <v>46</v>
      </c>
      <c r="C1146" s="1" t="s">
        <v>47</v>
      </c>
      <c r="D1146" s="1"/>
      <c r="E1146" s="1" t="s">
        <v>4845</v>
      </c>
      <c r="F1146" s="1"/>
      <c r="G1146" s="1" t="s">
        <v>49</v>
      </c>
      <c r="H1146" s="1" t="s">
        <v>93</v>
      </c>
      <c r="I1146" s="1">
        <v>36036.0</v>
      </c>
      <c r="J1146" s="1"/>
      <c r="K1146" s="1"/>
      <c r="L1146" s="1"/>
      <c r="M1146" s="1" t="s">
        <v>4846</v>
      </c>
      <c r="N1146" s="1" t="s">
        <v>142</v>
      </c>
      <c r="O1146" s="1" t="s">
        <v>143</v>
      </c>
      <c r="P1146" s="2">
        <v>43790.7146643519</v>
      </c>
      <c r="Q1146" s="1" t="s">
        <v>373</v>
      </c>
      <c r="R1146" s="1"/>
      <c r="S1146" s="1"/>
      <c r="T1146" s="1">
        <v>4318101.0</v>
      </c>
      <c r="U1146" s="1" t="s">
        <v>3295</v>
      </c>
      <c r="V1146" s="1" t="s">
        <v>145</v>
      </c>
      <c r="W1146" s="1" t="s">
        <v>146</v>
      </c>
      <c r="X1146" s="1"/>
      <c r="Y1146" s="1"/>
      <c r="Z1146" s="1" t="s">
        <v>147</v>
      </c>
      <c r="AA1146" s="1" t="s">
        <v>4847</v>
      </c>
      <c r="AB1146" s="1" t="str">
        <f>"***783630**"</f>
        <v>***783630**</v>
      </c>
      <c r="AC1146" s="1"/>
      <c r="AD1146" s="1" t="s">
        <v>62</v>
      </c>
      <c r="AE1146" s="1"/>
      <c r="AF1146" s="1">
        <v>-55.19278</v>
      </c>
      <c r="AG1146" s="1">
        <v>-29.27861</v>
      </c>
      <c r="AH1146" s="1" t="s">
        <v>4848</v>
      </c>
      <c r="AI1146" s="1"/>
      <c r="AJ1146" s="1" t="s">
        <v>151</v>
      </c>
      <c r="AK1146" s="1"/>
      <c r="AL1146" s="1"/>
      <c r="AM1146" s="1" t="s">
        <v>65</v>
      </c>
      <c r="AN1146" s="1" t="s">
        <v>709</v>
      </c>
      <c r="AO1146" s="1"/>
      <c r="AP1146" s="2">
        <v>44144.7280671296</v>
      </c>
      <c r="AQ1146" s="1"/>
      <c r="AR1146" s="1" t="s">
        <v>4849</v>
      </c>
      <c r="AS1146" s="1"/>
      <c r="AT1146" s="2">
        <v>44269.931099537</v>
      </c>
    </row>
    <row r="1147" ht="13.5" customHeight="1">
      <c r="A1147" s="1">
        <v>2035164.0</v>
      </c>
      <c r="B1147" s="1" t="s">
        <v>67</v>
      </c>
      <c r="C1147" s="1" t="s">
        <v>68</v>
      </c>
      <c r="D1147" s="1" t="s">
        <v>46</v>
      </c>
      <c r="E1147" s="1" t="s">
        <v>4850</v>
      </c>
      <c r="F1147" s="1"/>
      <c r="G1147" s="1" t="s">
        <v>70</v>
      </c>
      <c r="H1147" s="1" t="s">
        <v>93</v>
      </c>
      <c r="I1147" s="1">
        <v>18300.0</v>
      </c>
      <c r="J1147" s="1"/>
      <c r="K1147" s="1"/>
      <c r="L1147" s="1" t="s">
        <v>151</v>
      </c>
      <c r="M1147" s="1" t="s">
        <v>4851</v>
      </c>
      <c r="N1147" s="1" t="s">
        <v>142</v>
      </c>
      <c r="O1147" s="1" t="s">
        <v>143</v>
      </c>
      <c r="P1147" s="2">
        <v>43790.7083333333</v>
      </c>
      <c r="Q1147" s="1" t="s">
        <v>373</v>
      </c>
      <c r="R1147" s="3">
        <v>43790.0</v>
      </c>
      <c r="S1147" s="1"/>
      <c r="T1147" s="1">
        <v>4317400.0</v>
      </c>
      <c r="U1147" s="1" t="s">
        <v>4826</v>
      </c>
      <c r="V1147" s="1" t="s">
        <v>145</v>
      </c>
      <c r="W1147" s="1" t="s">
        <v>146</v>
      </c>
      <c r="X1147" s="1"/>
      <c r="Y1147" s="1" t="str">
        <f>"02023000823202054"</f>
        <v>02023000823202054</v>
      </c>
      <c r="Z1147" s="1" t="s">
        <v>147</v>
      </c>
      <c r="AA1147" s="1" t="s">
        <v>4852</v>
      </c>
      <c r="AB1147" s="1" t="str">
        <f>"***653870**"</f>
        <v>***653870**</v>
      </c>
      <c r="AC1147" s="1"/>
      <c r="AD1147" s="1"/>
      <c r="AE1147" s="1"/>
      <c r="AF1147" s="1">
        <v>-54.496666</v>
      </c>
      <c r="AG1147" s="1">
        <v>-29.254168</v>
      </c>
      <c r="AH1147" s="1" t="s">
        <v>4853</v>
      </c>
      <c r="AI1147" s="1"/>
      <c r="AJ1147" s="1" t="s">
        <v>151</v>
      </c>
      <c r="AK1147" s="1"/>
      <c r="AL1147" s="1" t="s">
        <v>79</v>
      </c>
      <c r="AM1147" s="1" t="s">
        <v>65</v>
      </c>
      <c r="AN1147" s="1" t="s">
        <v>709</v>
      </c>
      <c r="AO1147" s="2">
        <v>43896.0</v>
      </c>
      <c r="AP1147" s="2">
        <v>43896.4340046296</v>
      </c>
      <c r="AQ1147" s="1" t="s">
        <v>80</v>
      </c>
      <c r="AR1147" s="1" t="s">
        <v>3298</v>
      </c>
      <c r="AS1147" s="1"/>
      <c r="AT1147" s="2">
        <v>44269.931099537</v>
      </c>
    </row>
    <row r="1148" ht="13.5" customHeight="1">
      <c r="A1148" s="1">
        <v>2036087.0</v>
      </c>
      <c r="B1148" s="1" t="s">
        <v>67</v>
      </c>
      <c r="C1148" s="1" t="s">
        <v>68</v>
      </c>
      <c r="D1148" s="1" t="s">
        <v>46</v>
      </c>
      <c r="E1148" s="1" t="s">
        <v>4854</v>
      </c>
      <c r="F1148" s="1"/>
      <c r="G1148" s="1" t="s">
        <v>70</v>
      </c>
      <c r="H1148" s="1" t="s">
        <v>50</v>
      </c>
      <c r="I1148" s="1">
        <v>15000.0</v>
      </c>
      <c r="J1148" s="1"/>
      <c r="K1148" s="1"/>
      <c r="L1148" s="1" t="s">
        <v>406</v>
      </c>
      <c r="M1148" s="1" t="s">
        <v>4855</v>
      </c>
      <c r="N1148" s="1" t="s">
        <v>283</v>
      </c>
      <c r="O1148" s="1" t="s">
        <v>978</v>
      </c>
      <c r="P1148" s="2">
        <v>43790.7083333333</v>
      </c>
      <c r="Q1148" s="1" t="s">
        <v>373</v>
      </c>
      <c r="R1148" s="3">
        <v>43790.0</v>
      </c>
      <c r="S1148" s="1"/>
      <c r="T1148" s="1">
        <v>3200607.0</v>
      </c>
      <c r="U1148" s="1" t="s">
        <v>402</v>
      </c>
      <c r="V1148" s="1" t="s">
        <v>403</v>
      </c>
      <c r="W1148" s="1" t="s">
        <v>59</v>
      </c>
      <c r="X1148" s="1"/>
      <c r="Y1148" s="1" t="str">
        <f>"02009002719201949"</f>
        <v>02009002719201949</v>
      </c>
      <c r="Z1148" s="1" t="s">
        <v>980</v>
      </c>
      <c r="AA1148" s="1" t="s">
        <v>4856</v>
      </c>
      <c r="AB1148" s="1" t="str">
        <f>"***844086**"</f>
        <v>***844086**</v>
      </c>
      <c r="AC1148" s="1"/>
      <c r="AD1148" s="1"/>
      <c r="AE1148" s="1"/>
      <c r="AF1148" s="1">
        <v>-40.355835</v>
      </c>
      <c r="AG1148" s="1">
        <v>-19.672222</v>
      </c>
      <c r="AH1148" s="1" t="s">
        <v>4857</v>
      </c>
      <c r="AI1148" s="1"/>
      <c r="AJ1148" s="1" t="s">
        <v>406</v>
      </c>
      <c r="AK1148" s="1"/>
      <c r="AL1148" s="1" t="s">
        <v>79</v>
      </c>
      <c r="AM1148" s="1" t="s">
        <v>65</v>
      </c>
      <c r="AN1148" s="1" t="s">
        <v>1551</v>
      </c>
      <c r="AO1148" s="2">
        <v>43934.0</v>
      </c>
      <c r="AP1148" s="2">
        <v>43934.7339699074</v>
      </c>
      <c r="AQ1148" s="1" t="s">
        <v>80</v>
      </c>
      <c r="AR1148" s="1" t="s">
        <v>1050</v>
      </c>
      <c r="AS1148" s="1" t="s">
        <v>4858</v>
      </c>
      <c r="AT1148" s="2">
        <v>44269.931099537</v>
      </c>
    </row>
    <row r="1149" ht="13.5" customHeight="1">
      <c r="A1149" s="1">
        <v>2038826.0</v>
      </c>
      <c r="B1149" s="1" t="s">
        <v>67</v>
      </c>
      <c r="C1149" s="1" t="s">
        <v>68</v>
      </c>
      <c r="D1149" s="1" t="s">
        <v>46</v>
      </c>
      <c r="E1149" s="1" t="s">
        <v>4859</v>
      </c>
      <c r="F1149" s="1"/>
      <c r="G1149" s="1" t="s">
        <v>70</v>
      </c>
      <c r="H1149" s="1" t="s">
        <v>50</v>
      </c>
      <c r="I1149" s="1">
        <v>58300.0</v>
      </c>
      <c r="J1149" s="1"/>
      <c r="K1149" s="1"/>
      <c r="L1149" s="1" t="s">
        <v>800</v>
      </c>
      <c r="M1149" s="1" t="s">
        <v>4860</v>
      </c>
      <c r="N1149" s="1" t="s">
        <v>53</v>
      </c>
      <c r="O1149" s="1" t="s">
        <v>54</v>
      </c>
      <c r="P1149" s="2">
        <v>43790.7083333333</v>
      </c>
      <c r="Q1149" s="1" t="s">
        <v>55</v>
      </c>
      <c r="R1149" s="1"/>
      <c r="S1149" s="1"/>
      <c r="T1149" s="1">
        <v>1600105.0</v>
      </c>
      <c r="U1149" s="1" t="s">
        <v>4692</v>
      </c>
      <c r="V1149" s="1" t="s">
        <v>797</v>
      </c>
      <c r="W1149" s="1" t="s">
        <v>177</v>
      </c>
      <c r="X1149" s="1"/>
      <c r="Y1149" s="1" t="str">
        <f>"02004000912202029"</f>
        <v>02004000912202029</v>
      </c>
      <c r="Z1149" s="1" t="s">
        <v>60</v>
      </c>
      <c r="AA1149" s="1" t="s">
        <v>4861</v>
      </c>
      <c r="AB1149" s="1" t="str">
        <f>"***561333**"</f>
        <v>***561333**</v>
      </c>
      <c r="AC1149" s="1"/>
      <c r="AD1149" s="1"/>
      <c r="AE1149" s="1"/>
      <c r="AF1149" s="1">
        <v>-50.172501</v>
      </c>
      <c r="AG1149" s="1">
        <v>0.994444</v>
      </c>
      <c r="AH1149" s="1" t="s">
        <v>4862</v>
      </c>
      <c r="AI1149" s="1"/>
      <c r="AJ1149" s="1" t="s">
        <v>800</v>
      </c>
      <c r="AK1149" s="1"/>
      <c r="AL1149" s="1" t="s">
        <v>79</v>
      </c>
      <c r="AM1149" s="1" t="s">
        <v>65</v>
      </c>
      <c r="AN1149" s="1" t="s">
        <v>152</v>
      </c>
      <c r="AO1149" s="2">
        <v>44047.0</v>
      </c>
      <c r="AP1149" s="2">
        <v>44047.3409027778</v>
      </c>
      <c r="AQ1149" s="1" t="s">
        <v>80</v>
      </c>
      <c r="AR1149" s="1" t="s">
        <v>4107</v>
      </c>
      <c r="AS1149" s="1"/>
      <c r="AT1149" s="2">
        <v>44269.931099537</v>
      </c>
    </row>
    <row r="1150" ht="13.5" customHeight="1">
      <c r="A1150" s="1">
        <v>2034906.0</v>
      </c>
      <c r="B1150" s="1" t="s">
        <v>67</v>
      </c>
      <c r="C1150" s="1" t="s">
        <v>68</v>
      </c>
      <c r="D1150" s="1" t="s">
        <v>46</v>
      </c>
      <c r="E1150" s="1" t="s">
        <v>4863</v>
      </c>
      <c r="F1150" s="1"/>
      <c r="G1150" s="1" t="s">
        <v>70</v>
      </c>
      <c r="H1150" s="1" t="s">
        <v>93</v>
      </c>
      <c r="I1150" s="1">
        <v>21000.0</v>
      </c>
      <c r="J1150" s="1"/>
      <c r="K1150" s="1"/>
      <c r="L1150" s="1" t="s">
        <v>151</v>
      </c>
      <c r="M1150" s="1" t="s">
        <v>4864</v>
      </c>
      <c r="N1150" s="1" t="s">
        <v>142</v>
      </c>
      <c r="O1150" s="1" t="s">
        <v>143</v>
      </c>
      <c r="P1150" s="2">
        <v>43790.6666666667</v>
      </c>
      <c r="Q1150" s="1" t="s">
        <v>373</v>
      </c>
      <c r="R1150" s="3">
        <v>43790.0</v>
      </c>
      <c r="S1150" s="1"/>
      <c r="T1150" s="1">
        <v>4317400.0</v>
      </c>
      <c r="U1150" s="1" t="s">
        <v>4826</v>
      </c>
      <c r="V1150" s="1" t="s">
        <v>145</v>
      </c>
      <c r="W1150" s="1" t="s">
        <v>146</v>
      </c>
      <c r="X1150" s="1"/>
      <c r="Y1150" s="1" t="str">
        <f>"02023003615201973"</f>
        <v>02023003615201973</v>
      </c>
      <c r="Z1150" s="1" t="s">
        <v>147</v>
      </c>
      <c r="AA1150" s="1" t="s">
        <v>4865</v>
      </c>
      <c r="AB1150" s="1" t="str">
        <f>"***678310**"</f>
        <v>***678310**</v>
      </c>
      <c r="AC1150" s="1"/>
      <c r="AD1150" s="1"/>
      <c r="AE1150" s="1"/>
      <c r="AF1150" s="1">
        <v>-54.578888</v>
      </c>
      <c r="AG1150" s="1">
        <v>-29.249166</v>
      </c>
      <c r="AH1150" s="1" t="s">
        <v>4866</v>
      </c>
      <c r="AI1150" s="1"/>
      <c r="AJ1150" s="1" t="s">
        <v>151</v>
      </c>
      <c r="AK1150" s="1"/>
      <c r="AL1150" s="1" t="s">
        <v>79</v>
      </c>
      <c r="AM1150" s="1" t="s">
        <v>65</v>
      </c>
      <c r="AN1150" s="1" t="s">
        <v>709</v>
      </c>
      <c r="AO1150" s="2">
        <v>43892.0</v>
      </c>
      <c r="AP1150" s="2">
        <v>43892.7012037037</v>
      </c>
      <c r="AQ1150" s="1" t="s">
        <v>80</v>
      </c>
      <c r="AR1150" s="1" t="s">
        <v>3298</v>
      </c>
      <c r="AS1150" s="1"/>
      <c r="AT1150" s="2">
        <v>44269.931099537</v>
      </c>
    </row>
    <row r="1151" ht="13.5" customHeight="1">
      <c r="A1151" s="1">
        <v>2034915.0</v>
      </c>
      <c r="B1151" s="1" t="s">
        <v>67</v>
      </c>
      <c r="C1151" s="1" t="s">
        <v>68</v>
      </c>
      <c r="D1151" s="1" t="s">
        <v>46</v>
      </c>
      <c r="E1151" s="1" t="s">
        <v>4867</v>
      </c>
      <c r="F1151" s="1"/>
      <c r="G1151" s="1" t="s">
        <v>70</v>
      </c>
      <c r="H1151" s="1" t="s">
        <v>93</v>
      </c>
      <c r="I1151" s="1">
        <v>130200.0</v>
      </c>
      <c r="J1151" s="1"/>
      <c r="K1151" s="1"/>
      <c r="L1151" s="1" t="s">
        <v>151</v>
      </c>
      <c r="M1151" s="1" t="s">
        <v>4868</v>
      </c>
      <c r="N1151" s="1" t="s">
        <v>142</v>
      </c>
      <c r="O1151" s="1" t="s">
        <v>143</v>
      </c>
      <c r="P1151" s="2">
        <v>43790.6666666667</v>
      </c>
      <c r="Q1151" s="1" t="s">
        <v>55</v>
      </c>
      <c r="R1151" s="3">
        <v>43790.0</v>
      </c>
      <c r="S1151" s="1"/>
      <c r="T1151" s="1">
        <v>4302501.0</v>
      </c>
      <c r="U1151" s="1" t="s">
        <v>706</v>
      </c>
      <c r="V1151" s="1" t="s">
        <v>145</v>
      </c>
      <c r="W1151" s="1" t="s">
        <v>146</v>
      </c>
      <c r="X1151" s="1"/>
      <c r="Y1151" s="1" t="str">
        <f>"02023000009202030"</f>
        <v>02023000009202030</v>
      </c>
      <c r="Z1151" s="1" t="s">
        <v>147</v>
      </c>
      <c r="AA1151" s="1" t="s">
        <v>4869</v>
      </c>
      <c r="AB1151" s="1" t="str">
        <f>"***768710**"</f>
        <v>***768710**</v>
      </c>
      <c r="AC1151" s="1"/>
      <c r="AD1151" s="1"/>
      <c r="AE1151" s="1"/>
      <c r="AF1151" s="1">
        <v>-55.263054</v>
      </c>
      <c r="AG1151" s="1">
        <v>-28.807222</v>
      </c>
      <c r="AH1151" s="1" t="s">
        <v>4870</v>
      </c>
      <c r="AI1151" s="1"/>
      <c r="AJ1151" s="1" t="s">
        <v>151</v>
      </c>
      <c r="AK1151" s="1"/>
      <c r="AL1151" s="1" t="s">
        <v>79</v>
      </c>
      <c r="AM1151" s="1" t="s">
        <v>65</v>
      </c>
      <c r="AN1151" s="1" t="s">
        <v>709</v>
      </c>
      <c r="AO1151" s="2">
        <v>43892.0</v>
      </c>
      <c r="AP1151" s="2">
        <v>43892.706099537</v>
      </c>
      <c r="AQ1151" s="1" t="s">
        <v>80</v>
      </c>
      <c r="AR1151" s="1" t="s">
        <v>3298</v>
      </c>
      <c r="AS1151" s="1"/>
      <c r="AT1151" s="2">
        <v>44269.931099537</v>
      </c>
    </row>
    <row r="1152" ht="13.5" customHeight="1">
      <c r="A1152" s="1">
        <v>2035167.0</v>
      </c>
      <c r="B1152" s="1" t="s">
        <v>67</v>
      </c>
      <c r="C1152" s="1" t="s">
        <v>68</v>
      </c>
      <c r="D1152" s="1" t="s">
        <v>46</v>
      </c>
      <c r="E1152" s="1" t="s">
        <v>4871</v>
      </c>
      <c r="F1152" s="1"/>
      <c r="G1152" s="1" t="s">
        <v>70</v>
      </c>
      <c r="H1152" s="1" t="s">
        <v>93</v>
      </c>
      <c r="I1152" s="1">
        <v>41700.0</v>
      </c>
      <c r="J1152" s="1"/>
      <c r="K1152" s="1"/>
      <c r="L1152" s="1" t="s">
        <v>151</v>
      </c>
      <c r="M1152" s="1" t="s">
        <v>4872</v>
      </c>
      <c r="N1152" s="1" t="s">
        <v>142</v>
      </c>
      <c r="O1152" s="1" t="s">
        <v>143</v>
      </c>
      <c r="P1152" s="2">
        <v>43790.6666666667</v>
      </c>
      <c r="Q1152" s="1" t="s">
        <v>55</v>
      </c>
      <c r="R1152" s="3">
        <v>43790.0</v>
      </c>
      <c r="S1152" s="1"/>
      <c r="T1152" s="1">
        <v>4317400.0</v>
      </c>
      <c r="U1152" s="1" t="s">
        <v>4826</v>
      </c>
      <c r="V1152" s="1" t="s">
        <v>145</v>
      </c>
      <c r="W1152" s="1" t="s">
        <v>146</v>
      </c>
      <c r="X1152" s="1"/>
      <c r="Y1152" s="1" t="str">
        <f>"02023000826202098"</f>
        <v>02023000826202098</v>
      </c>
      <c r="Z1152" s="1" t="s">
        <v>147</v>
      </c>
      <c r="AA1152" s="1" t="s">
        <v>4873</v>
      </c>
      <c r="AB1152" s="1" t="str">
        <f>"***524350**"</f>
        <v>***524350**</v>
      </c>
      <c r="AC1152" s="1"/>
      <c r="AD1152" s="1"/>
      <c r="AE1152" s="1"/>
      <c r="AF1152" s="1">
        <v>-54.6875</v>
      </c>
      <c r="AG1152" s="1">
        <v>-29.242779</v>
      </c>
      <c r="AH1152" s="1" t="s">
        <v>4874</v>
      </c>
      <c r="AI1152" s="1"/>
      <c r="AJ1152" s="1" t="s">
        <v>151</v>
      </c>
      <c r="AK1152" s="1"/>
      <c r="AL1152" s="1" t="s">
        <v>79</v>
      </c>
      <c r="AM1152" s="1" t="s">
        <v>65</v>
      </c>
      <c r="AN1152" s="1" t="s">
        <v>709</v>
      </c>
      <c r="AO1152" s="2">
        <v>43896.0</v>
      </c>
      <c r="AP1152" s="2">
        <v>43896.4349884259</v>
      </c>
      <c r="AQ1152" s="1" t="s">
        <v>80</v>
      </c>
      <c r="AR1152" s="1" t="s">
        <v>3298</v>
      </c>
      <c r="AS1152" s="1"/>
      <c r="AT1152" s="2">
        <v>44269.931099537</v>
      </c>
    </row>
    <row r="1153" ht="13.5" customHeight="1">
      <c r="A1153" s="1">
        <v>2039068.0</v>
      </c>
      <c r="B1153" s="1" t="s">
        <v>67</v>
      </c>
      <c r="C1153" s="1" t="s">
        <v>68</v>
      </c>
      <c r="D1153" s="1" t="s">
        <v>46</v>
      </c>
      <c r="E1153" s="1" t="s">
        <v>4875</v>
      </c>
      <c r="F1153" s="1"/>
      <c r="G1153" s="1" t="s">
        <v>70</v>
      </c>
      <c r="H1153" s="1" t="s">
        <v>93</v>
      </c>
      <c r="I1153" s="1">
        <v>120000.0</v>
      </c>
      <c r="J1153" s="1"/>
      <c r="K1153" s="1"/>
      <c r="L1153" s="1" t="s">
        <v>1172</v>
      </c>
      <c r="M1153" s="1" t="s">
        <v>4876</v>
      </c>
      <c r="N1153" s="1" t="s">
        <v>142</v>
      </c>
      <c r="O1153" s="1" t="s">
        <v>143</v>
      </c>
      <c r="P1153" s="2">
        <v>43790.6666666667</v>
      </c>
      <c r="Q1153" s="1" t="s">
        <v>373</v>
      </c>
      <c r="R1153" s="3">
        <v>43790.0</v>
      </c>
      <c r="S1153" s="1"/>
      <c r="T1153" s="1">
        <v>1505486.0</v>
      </c>
      <c r="U1153" s="1" t="s">
        <v>3446</v>
      </c>
      <c r="V1153" s="1" t="s">
        <v>193</v>
      </c>
      <c r="W1153" s="1" t="s">
        <v>177</v>
      </c>
      <c r="X1153" s="1"/>
      <c r="Y1153" s="1"/>
      <c r="Z1153" s="1" t="s">
        <v>147</v>
      </c>
      <c r="AA1153" s="1" t="s">
        <v>4877</v>
      </c>
      <c r="AB1153" s="1" t="str">
        <f>"***481182**"</f>
        <v>***481182**</v>
      </c>
      <c r="AC1153" s="1"/>
      <c r="AD1153" s="1"/>
      <c r="AE1153" s="1"/>
      <c r="AF1153" s="1">
        <v>-51.020832</v>
      </c>
      <c r="AG1153" s="1">
        <v>-3.7275</v>
      </c>
      <c r="AH1153" s="1" t="s">
        <v>4878</v>
      </c>
      <c r="AI1153" s="1"/>
      <c r="AJ1153" s="1" t="s">
        <v>1172</v>
      </c>
      <c r="AK1153" s="1"/>
      <c r="AL1153" s="1" t="s">
        <v>79</v>
      </c>
      <c r="AM1153" s="1" t="s">
        <v>65</v>
      </c>
      <c r="AN1153" s="1" t="s">
        <v>3087</v>
      </c>
      <c r="AO1153" s="2">
        <v>44054.0</v>
      </c>
      <c r="AP1153" s="2">
        <v>44054.3622569444</v>
      </c>
      <c r="AQ1153" s="1" t="s">
        <v>80</v>
      </c>
      <c r="AR1153" s="1" t="s">
        <v>650</v>
      </c>
      <c r="AS1153" s="1" t="s">
        <v>4879</v>
      </c>
      <c r="AT1153" s="2">
        <v>44269.931099537</v>
      </c>
    </row>
    <row r="1154" ht="13.5" customHeight="1">
      <c r="A1154" s="1"/>
      <c r="B1154" s="1" t="s">
        <v>46</v>
      </c>
      <c r="C1154" s="1" t="s">
        <v>47</v>
      </c>
      <c r="D1154" s="1"/>
      <c r="E1154" s="1" t="s">
        <v>4880</v>
      </c>
      <c r="F1154" s="1"/>
      <c r="G1154" s="1" t="s">
        <v>49</v>
      </c>
      <c r="H1154" s="1" t="s">
        <v>93</v>
      </c>
      <c r="I1154" s="1">
        <v>85000.0</v>
      </c>
      <c r="J1154" s="1"/>
      <c r="K1154" s="1" t="s">
        <v>140</v>
      </c>
      <c r="L1154" s="1"/>
      <c r="M1154" s="1" t="s">
        <v>4881</v>
      </c>
      <c r="N1154" s="1" t="s">
        <v>53</v>
      </c>
      <c r="O1154" s="1" t="s">
        <v>54</v>
      </c>
      <c r="P1154" s="2">
        <v>43790.6563541667</v>
      </c>
      <c r="Q1154" s="1" t="s">
        <v>55</v>
      </c>
      <c r="R1154" s="1"/>
      <c r="S1154" s="1"/>
      <c r="T1154" s="1">
        <v>1600105.0</v>
      </c>
      <c r="U1154" s="1" t="s">
        <v>4692</v>
      </c>
      <c r="V1154" s="1" t="s">
        <v>797</v>
      </c>
      <c r="W1154" s="1" t="s">
        <v>288</v>
      </c>
      <c r="X1154" s="1"/>
      <c r="Y1154" s="1"/>
      <c r="Z1154" s="1" t="s">
        <v>60</v>
      </c>
      <c r="AA1154" s="1" t="s">
        <v>4882</v>
      </c>
      <c r="AB1154" s="1" t="str">
        <f>"***561333**"</f>
        <v>***561333**</v>
      </c>
      <c r="AC1154" s="1"/>
      <c r="AD1154" s="1" t="s">
        <v>149</v>
      </c>
      <c r="AE1154" s="1"/>
      <c r="AF1154" s="1">
        <v>-50.163612</v>
      </c>
      <c r="AG1154" s="1">
        <v>2.025556</v>
      </c>
      <c r="AH1154" s="1" t="s">
        <v>4883</v>
      </c>
      <c r="AI1154" s="1"/>
      <c r="AJ1154" s="1" t="s">
        <v>800</v>
      </c>
      <c r="AK1154" s="1"/>
      <c r="AL1154" s="1"/>
      <c r="AM1154" s="1" t="s">
        <v>65</v>
      </c>
      <c r="AN1154" s="1" t="s">
        <v>152</v>
      </c>
      <c r="AO1154" s="1"/>
      <c r="AP1154" s="2">
        <v>43790.7140509259</v>
      </c>
      <c r="AQ1154" s="1"/>
      <c r="AR1154" s="1" t="s">
        <v>4325</v>
      </c>
      <c r="AS1154" s="1"/>
      <c r="AT1154" s="2">
        <v>44269.931099537</v>
      </c>
    </row>
    <row r="1155" ht="13.5" customHeight="1">
      <c r="A1155" s="1">
        <v>2035168.0</v>
      </c>
      <c r="B1155" s="1" t="s">
        <v>67</v>
      </c>
      <c r="C1155" s="1" t="s">
        <v>68</v>
      </c>
      <c r="D1155" s="1" t="s">
        <v>46</v>
      </c>
      <c r="E1155" s="1" t="s">
        <v>4884</v>
      </c>
      <c r="F1155" s="1"/>
      <c r="G1155" s="1" t="s">
        <v>70</v>
      </c>
      <c r="H1155" s="1" t="s">
        <v>93</v>
      </c>
      <c r="I1155" s="1">
        <v>22500.0</v>
      </c>
      <c r="J1155" s="1"/>
      <c r="K1155" s="1"/>
      <c r="L1155" s="1" t="s">
        <v>151</v>
      </c>
      <c r="M1155" s="1" t="s">
        <v>4885</v>
      </c>
      <c r="N1155" s="1" t="s">
        <v>142</v>
      </c>
      <c r="O1155" s="1" t="s">
        <v>143</v>
      </c>
      <c r="P1155" s="2">
        <v>43790.625</v>
      </c>
      <c r="Q1155" s="1" t="s">
        <v>373</v>
      </c>
      <c r="R1155" s="3">
        <v>43790.0</v>
      </c>
      <c r="S1155" s="1"/>
      <c r="T1155" s="1">
        <v>4317400.0</v>
      </c>
      <c r="U1155" s="1" t="s">
        <v>4826</v>
      </c>
      <c r="V1155" s="1" t="s">
        <v>145</v>
      </c>
      <c r="W1155" s="1" t="s">
        <v>146</v>
      </c>
      <c r="X1155" s="1"/>
      <c r="Y1155" s="1" t="str">
        <f>"02023000827202032"</f>
        <v>02023000827202032</v>
      </c>
      <c r="Z1155" s="1" t="s">
        <v>147</v>
      </c>
      <c r="AA1155" s="1" t="s">
        <v>4886</v>
      </c>
      <c r="AB1155" s="1" t="str">
        <f>"***726370**"</f>
        <v>***726370**</v>
      </c>
      <c r="AC1155" s="1"/>
      <c r="AD1155" s="1"/>
      <c r="AE1155" s="1"/>
      <c r="AF1155" s="1">
        <v>-54.679722</v>
      </c>
      <c r="AG1155" s="1">
        <v>-29.260279</v>
      </c>
      <c r="AH1155" s="1" t="s">
        <v>4887</v>
      </c>
      <c r="AI1155" s="1"/>
      <c r="AJ1155" s="1" t="s">
        <v>151</v>
      </c>
      <c r="AK1155" s="1"/>
      <c r="AL1155" s="1" t="s">
        <v>79</v>
      </c>
      <c r="AM1155" s="1" t="s">
        <v>65</v>
      </c>
      <c r="AN1155" s="1" t="s">
        <v>709</v>
      </c>
      <c r="AO1155" s="2">
        <v>43896.0</v>
      </c>
      <c r="AP1155" s="2">
        <v>43896.4352893519</v>
      </c>
      <c r="AQ1155" s="1" t="s">
        <v>80</v>
      </c>
      <c r="AR1155" s="1" t="s">
        <v>3298</v>
      </c>
      <c r="AS1155" s="1"/>
      <c r="AT1155" s="2">
        <v>44269.931099537</v>
      </c>
    </row>
    <row r="1156" ht="13.5" customHeight="1">
      <c r="A1156" s="1">
        <v>2039058.0</v>
      </c>
      <c r="B1156" s="1" t="s">
        <v>67</v>
      </c>
      <c r="C1156" s="1" t="s">
        <v>68</v>
      </c>
      <c r="D1156" s="1" t="s">
        <v>46</v>
      </c>
      <c r="E1156" s="1" t="s">
        <v>4888</v>
      </c>
      <c r="F1156" s="1"/>
      <c r="G1156" s="1" t="s">
        <v>70</v>
      </c>
      <c r="H1156" s="1" t="s">
        <v>93</v>
      </c>
      <c r="I1156" s="1">
        <v>70000.0</v>
      </c>
      <c r="J1156" s="1"/>
      <c r="K1156" s="1"/>
      <c r="L1156" s="1" t="s">
        <v>1172</v>
      </c>
      <c r="M1156" s="1" t="s">
        <v>4889</v>
      </c>
      <c r="N1156" s="1" t="s">
        <v>142</v>
      </c>
      <c r="O1156" s="1" t="s">
        <v>143</v>
      </c>
      <c r="P1156" s="2">
        <v>43790.625</v>
      </c>
      <c r="Q1156" s="1" t="s">
        <v>373</v>
      </c>
      <c r="R1156" s="3">
        <v>43790.0</v>
      </c>
      <c r="S1156" s="1"/>
      <c r="T1156" s="1">
        <v>1505486.0</v>
      </c>
      <c r="U1156" s="1" t="s">
        <v>3446</v>
      </c>
      <c r="V1156" s="1" t="s">
        <v>193</v>
      </c>
      <c r="W1156" s="1" t="s">
        <v>177</v>
      </c>
      <c r="X1156" s="1"/>
      <c r="Y1156" s="1"/>
      <c r="Z1156" s="1" t="s">
        <v>147</v>
      </c>
      <c r="AA1156" s="1" t="s">
        <v>4890</v>
      </c>
      <c r="AB1156" s="1" t="str">
        <f t="shared" ref="AB1156:AB1157" si="63">"***266752**"</f>
        <v>***266752**</v>
      </c>
      <c r="AC1156" s="1"/>
      <c r="AD1156" s="1"/>
      <c r="AE1156" s="1"/>
      <c r="AF1156" s="1">
        <v>-51.020554</v>
      </c>
      <c r="AG1156" s="1">
        <v>-3.724167</v>
      </c>
      <c r="AH1156" s="1" t="s">
        <v>4891</v>
      </c>
      <c r="AI1156" s="1"/>
      <c r="AJ1156" s="1" t="s">
        <v>1172</v>
      </c>
      <c r="AK1156" s="1"/>
      <c r="AL1156" s="1" t="s">
        <v>79</v>
      </c>
      <c r="AM1156" s="1" t="s">
        <v>65</v>
      </c>
      <c r="AN1156" s="1" t="s">
        <v>3087</v>
      </c>
      <c r="AO1156" s="2">
        <v>44053.0</v>
      </c>
      <c r="AP1156" s="2">
        <v>44053.6905555556</v>
      </c>
      <c r="AQ1156" s="1" t="s">
        <v>80</v>
      </c>
      <c r="AR1156" s="1" t="s">
        <v>392</v>
      </c>
      <c r="AS1156" s="1"/>
      <c r="AT1156" s="2">
        <v>44269.931099537</v>
      </c>
    </row>
    <row r="1157" ht="13.5" customHeight="1">
      <c r="A1157" s="1">
        <v>2039059.0</v>
      </c>
      <c r="B1157" s="1" t="s">
        <v>67</v>
      </c>
      <c r="C1157" s="1" t="s">
        <v>68</v>
      </c>
      <c r="D1157" s="1" t="s">
        <v>46</v>
      </c>
      <c r="E1157" s="1" t="s">
        <v>4892</v>
      </c>
      <c r="F1157" s="1"/>
      <c r="G1157" s="1" t="s">
        <v>70</v>
      </c>
      <c r="H1157" s="1" t="s">
        <v>50</v>
      </c>
      <c r="I1157" s="1">
        <v>10000.0</v>
      </c>
      <c r="J1157" s="1"/>
      <c r="K1157" s="1"/>
      <c r="L1157" s="1" t="s">
        <v>1172</v>
      </c>
      <c r="M1157" s="1" t="s">
        <v>4893</v>
      </c>
      <c r="N1157" s="1" t="s">
        <v>142</v>
      </c>
      <c r="O1157" s="1" t="s">
        <v>143</v>
      </c>
      <c r="P1157" s="2">
        <v>43790.625</v>
      </c>
      <c r="Q1157" s="1" t="s">
        <v>373</v>
      </c>
      <c r="R1157" s="3">
        <v>43790.0</v>
      </c>
      <c r="S1157" s="1"/>
      <c r="T1157" s="1">
        <v>1505486.0</v>
      </c>
      <c r="U1157" s="1" t="s">
        <v>3446</v>
      </c>
      <c r="V1157" s="1" t="s">
        <v>193</v>
      </c>
      <c r="W1157" s="1" t="s">
        <v>177</v>
      </c>
      <c r="X1157" s="1"/>
      <c r="Y1157" s="1"/>
      <c r="Z1157" s="1" t="s">
        <v>147</v>
      </c>
      <c r="AA1157" s="1" t="s">
        <v>4890</v>
      </c>
      <c r="AB1157" s="1" t="str">
        <f t="shared" si="63"/>
        <v>***266752**</v>
      </c>
      <c r="AC1157" s="1"/>
      <c r="AD1157" s="1"/>
      <c r="AE1157" s="1"/>
      <c r="AF1157" s="1">
        <v>-51.020554</v>
      </c>
      <c r="AG1157" s="1">
        <v>-3.724444</v>
      </c>
      <c r="AH1157" s="1" t="s">
        <v>4894</v>
      </c>
      <c r="AI1157" s="1"/>
      <c r="AJ1157" s="1" t="s">
        <v>1172</v>
      </c>
      <c r="AK1157" s="1"/>
      <c r="AL1157" s="1" t="s">
        <v>79</v>
      </c>
      <c r="AM1157" s="1" t="s">
        <v>65</v>
      </c>
      <c r="AN1157" s="1" t="s">
        <v>3087</v>
      </c>
      <c r="AO1157" s="2">
        <v>44053.0</v>
      </c>
      <c r="AP1157" s="2">
        <v>44053.6906828704</v>
      </c>
      <c r="AQ1157" s="1" t="s">
        <v>80</v>
      </c>
      <c r="AR1157" s="1" t="s">
        <v>1607</v>
      </c>
      <c r="AS1157" s="1"/>
      <c r="AT1157" s="2">
        <v>44269.931099537</v>
      </c>
    </row>
    <row r="1158" ht="13.5" customHeight="1">
      <c r="A1158" s="1"/>
      <c r="B1158" s="1" t="s">
        <v>46</v>
      </c>
      <c r="C1158" s="1" t="s">
        <v>47</v>
      </c>
      <c r="D1158" s="1"/>
      <c r="E1158" s="1" t="s">
        <v>4895</v>
      </c>
      <c r="F1158" s="1"/>
      <c r="G1158" s="1" t="s">
        <v>49</v>
      </c>
      <c r="H1158" s="1" t="s">
        <v>93</v>
      </c>
      <c r="I1158" s="1">
        <v>320000.0</v>
      </c>
      <c r="J1158" s="1"/>
      <c r="K1158" s="1"/>
      <c r="L1158" s="1"/>
      <c r="M1158" s="1" t="s">
        <v>4896</v>
      </c>
      <c r="N1158" s="1" t="s">
        <v>142</v>
      </c>
      <c r="O1158" s="1" t="s">
        <v>143</v>
      </c>
      <c r="P1158" s="2">
        <v>43790.6246527778</v>
      </c>
      <c r="Q1158" s="1" t="s">
        <v>74</v>
      </c>
      <c r="R1158" s="1"/>
      <c r="S1158" s="1"/>
      <c r="T1158" s="1">
        <v>1507300.0</v>
      </c>
      <c r="U1158" s="1" t="s">
        <v>3161</v>
      </c>
      <c r="V1158" s="1" t="s">
        <v>193</v>
      </c>
      <c r="W1158" s="1" t="s">
        <v>177</v>
      </c>
      <c r="X1158" s="1"/>
      <c r="Y1158" s="1"/>
      <c r="Z1158" s="1" t="s">
        <v>147</v>
      </c>
      <c r="AA1158" s="1" t="s">
        <v>4897</v>
      </c>
      <c r="AB1158" s="1" t="str">
        <f>"***714923**"</f>
        <v>***714923**</v>
      </c>
      <c r="AC1158" s="1"/>
      <c r="AD1158" s="1" t="s">
        <v>116</v>
      </c>
      <c r="AE1158" s="1"/>
      <c r="AF1158" s="1">
        <v>-51.310555</v>
      </c>
      <c r="AG1158" s="1">
        <v>-5.674167</v>
      </c>
      <c r="AH1158" s="1" t="s">
        <v>4898</v>
      </c>
      <c r="AI1158" s="1"/>
      <c r="AJ1158" s="1" t="s">
        <v>172</v>
      </c>
      <c r="AK1158" s="1"/>
      <c r="AL1158" s="1"/>
      <c r="AM1158" s="1" t="s">
        <v>65</v>
      </c>
      <c r="AN1158" s="1" t="s">
        <v>2164</v>
      </c>
      <c r="AO1158" s="1"/>
      <c r="AP1158" s="2">
        <v>43790.6342361111</v>
      </c>
      <c r="AQ1158" s="1"/>
      <c r="AR1158" s="1" t="s">
        <v>644</v>
      </c>
      <c r="AS1158" s="1" t="s">
        <v>4532</v>
      </c>
      <c r="AT1158" s="2">
        <v>44269.931099537</v>
      </c>
    </row>
    <row r="1159" ht="13.5" customHeight="1">
      <c r="A1159" s="1"/>
      <c r="B1159" s="1" t="s">
        <v>46</v>
      </c>
      <c r="C1159" s="1" t="s">
        <v>47</v>
      </c>
      <c r="D1159" s="1"/>
      <c r="E1159" s="1" t="s">
        <v>4899</v>
      </c>
      <c r="F1159" s="1"/>
      <c r="G1159" s="1" t="s">
        <v>49</v>
      </c>
      <c r="H1159" s="1" t="s">
        <v>93</v>
      </c>
      <c r="I1159" s="1">
        <v>285000.0</v>
      </c>
      <c r="J1159" s="1"/>
      <c r="K1159" s="1"/>
      <c r="L1159" s="1"/>
      <c r="M1159" s="1" t="s">
        <v>4900</v>
      </c>
      <c r="N1159" s="1" t="s">
        <v>142</v>
      </c>
      <c r="O1159" s="1" t="s">
        <v>143</v>
      </c>
      <c r="P1159" s="2">
        <v>43790.6014583333</v>
      </c>
      <c r="Q1159" s="1" t="s">
        <v>74</v>
      </c>
      <c r="R1159" s="1"/>
      <c r="S1159" s="1"/>
      <c r="T1159" s="1">
        <v>1300706.0</v>
      </c>
      <c r="U1159" s="1" t="s">
        <v>2161</v>
      </c>
      <c r="V1159" s="1" t="s">
        <v>486</v>
      </c>
      <c r="W1159" s="1" t="s">
        <v>177</v>
      </c>
      <c r="X1159" s="1"/>
      <c r="Y1159" s="1"/>
      <c r="Z1159" s="1" t="s">
        <v>147</v>
      </c>
      <c r="AA1159" s="1" t="s">
        <v>4901</v>
      </c>
      <c r="AB1159" s="1" t="str">
        <f>"***977602**"</f>
        <v>***977602**</v>
      </c>
      <c r="AC1159" s="1"/>
      <c r="AD1159" s="1" t="s">
        <v>116</v>
      </c>
      <c r="AE1159" s="1"/>
      <c r="AF1159" s="1">
        <v>-67.121666</v>
      </c>
      <c r="AG1159" s="1">
        <v>-8.510834</v>
      </c>
      <c r="AH1159" s="1" t="s">
        <v>4902</v>
      </c>
      <c r="AI1159" s="1"/>
      <c r="AJ1159" s="1" t="s">
        <v>172</v>
      </c>
      <c r="AK1159" s="1"/>
      <c r="AL1159" s="1"/>
      <c r="AM1159" s="1" t="s">
        <v>65</v>
      </c>
      <c r="AN1159" s="1" t="s">
        <v>2164</v>
      </c>
      <c r="AO1159" s="1"/>
      <c r="AP1159" s="2">
        <v>43790.6131712963</v>
      </c>
      <c r="AQ1159" s="1"/>
      <c r="AR1159" s="1" t="s">
        <v>644</v>
      </c>
      <c r="AS1159" s="1" t="s">
        <v>4903</v>
      </c>
      <c r="AT1159" s="2">
        <v>44269.931099537</v>
      </c>
    </row>
    <row r="1160" ht="13.5" customHeight="1">
      <c r="A1160" s="1"/>
      <c r="B1160" s="1" t="s">
        <v>46</v>
      </c>
      <c r="C1160" s="1" t="s">
        <v>47</v>
      </c>
      <c r="D1160" s="1"/>
      <c r="E1160" s="1" t="s">
        <v>4904</v>
      </c>
      <c r="F1160" s="1"/>
      <c r="G1160" s="1" t="s">
        <v>49</v>
      </c>
      <c r="H1160" s="1" t="s">
        <v>93</v>
      </c>
      <c r="I1160" s="1">
        <v>600000.0</v>
      </c>
      <c r="J1160" s="1"/>
      <c r="K1160" s="1"/>
      <c r="L1160" s="1"/>
      <c r="M1160" s="1" t="s">
        <v>4905</v>
      </c>
      <c r="N1160" s="1" t="s">
        <v>142</v>
      </c>
      <c r="O1160" s="1" t="s">
        <v>143</v>
      </c>
      <c r="P1160" s="2">
        <v>43790.5638425926</v>
      </c>
      <c r="Q1160" s="1" t="s">
        <v>74</v>
      </c>
      <c r="R1160" s="1"/>
      <c r="S1160" s="1"/>
      <c r="T1160" s="1">
        <v>1302405.0</v>
      </c>
      <c r="U1160" s="1" t="s">
        <v>2258</v>
      </c>
      <c r="V1160" s="1" t="s">
        <v>486</v>
      </c>
      <c r="W1160" s="1" t="s">
        <v>177</v>
      </c>
      <c r="X1160" s="1"/>
      <c r="Y1160" s="1"/>
      <c r="Z1160" s="1" t="s">
        <v>147</v>
      </c>
      <c r="AA1160" s="1" t="s">
        <v>4906</v>
      </c>
      <c r="AB1160" s="1" t="str">
        <f>"***118942**"</f>
        <v>***118942**</v>
      </c>
      <c r="AC1160" s="1"/>
      <c r="AD1160" s="1" t="s">
        <v>116</v>
      </c>
      <c r="AE1160" s="1"/>
      <c r="AF1160" s="1">
        <v>-67.067223</v>
      </c>
      <c r="AG1160" s="1">
        <v>-8.590833</v>
      </c>
      <c r="AH1160" s="1" t="s">
        <v>4907</v>
      </c>
      <c r="AI1160" s="1"/>
      <c r="AJ1160" s="1" t="s">
        <v>172</v>
      </c>
      <c r="AK1160" s="1"/>
      <c r="AL1160" s="1"/>
      <c r="AM1160" s="1" t="s">
        <v>65</v>
      </c>
      <c r="AN1160" s="1" t="s">
        <v>2164</v>
      </c>
      <c r="AO1160" s="1"/>
      <c r="AP1160" s="2">
        <v>43790.5733912037</v>
      </c>
      <c r="AQ1160" s="1"/>
      <c r="AR1160" s="1" t="s">
        <v>644</v>
      </c>
      <c r="AS1160" s="1" t="s">
        <v>4903</v>
      </c>
      <c r="AT1160" s="2">
        <v>44269.931099537</v>
      </c>
    </row>
    <row r="1161" ht="13.5" customHeight="1">
      <c r="A1161" s="1">
        <v>2035873.0</v>
      </c>
      <c r="B1161" s="1" t="s">
        <v>67</v>
      </c>
      <c r="C1161" s="1" t="s">
        <v>68</v>
      </c>
      <c r="D1161" s="1" t="s">
        <v>46</v>
      </c>
      <c r="E1161" s="1" t="s">
        <v>4908</v>
      </c>
      <c r="F1161" s="1"/>
      <c r="G1161" s="1" t="s">
        <v>70</v>
      </c>
      <c r="H1161" s="1" t="s">
        <v>93</v>
      </c>
      <c r="I1161" s="1">
        <v>305000.0</v>
      </c>
      <c r="J1161" s="1"/>
      <c r="K1161" s="1"/>
      <c r="L1161" s="1" t="s">
        <v>172</v>
      </c>
      <c r="M1161" s="1" t="s">
        <v>4909</v>
      </c>
      <c r="N1161" s="1" t="s">
        <v>142</v>
      </c>
      <c r="O1161" s="1" t="s">
        <v>143</v>
      </c>
      <c r="P1161" s="2">
        <v>43790.5416666667</v>
      </c>
      <c r="Q1161" s="1" t="s">
        <v>74</v>
      </c>
      <c r="R1161" s="3">
        <v>43790.0</v>
      </c>
      <c r="S1161" s="1"/>
      <c r="T1161" s="1">
        <v>1507300.0</v>
      </c>
      <c r="U1161" s="1" t="s">
        <v>3161</v>
      </c>
      <c r="V1161" s="1" t="s">
        <v>193</v>
      </c>
      <c r="W1161" s="1" t="s">
        <v>177</v>
      </c>
      <c r="X1161" s="1"/>
      <c r="Y1161" s="1" t="str">
        <f>"02001009095202002"</f>
        <v>02001009095202002</v>
      </c>
      <c r="Z1161" s="1" t="s">
        <v>147</v>
      </c>
      <c r="AA1161" s="1" t="s">
        <v>4910</v>
      </c>
      <c r="AB1161" s="1" t="str">
        <f>"***319651**"</f>
        <v>***319651**</v>
      </c>
      <c r="AC1161" s="1"/>
      <c r="AD1161" s="1"/>
      <c r="AE1161" s="1"/>
      <c r="AF1161" s="1">
        <v>-51.810276</v>
      </c>
      <c r="AG1161" s="1">
        <v>-6.985278</v>
      </c>
      <c r="AH1161" s="1" t="s">
        <v>4911</v>
      </c>
      <c r="AI1161" s="1"/>
      <c r="AJ1161" s="1" t="s">
        <v>172</v>
      </c>
      <c r="AK1161" s="1"/>
      <c r="AL1161" s="1" t="s">
        <v>79</v>
      </c>
      <c r="AM1161" s="1" t="s">
        <v>65</v>
      </c>
      <c r="AN1161" s="1" t="s">
        <v>2164</v>
      </c>
      <c r="AO1161" s="2">
        <v>43921.0</v>
      </c>
      <c r="AP1161" s="2">
        <v>43921.6250925926</v>
      </c>
      <c r="AQ1161" s="1" t="s">
        <v>80</v>
      </c>
      <c r="AR1161" s="1" t="s">
        <v>650</v>
      </c>
      <c r="AS1161" s="1" t="s">
        <v>4243</v>
      </c>
      <c r="AT1161" s="2">
        <v>44269.931099537</v>
      </c>
    </row>
    <row r="1162" ht="13.5" customHeight="1">
      <c r="A1162" s="1"/>
      <c r="B1162" s="1" t="s">
        <v>46</v>
      </c>
      <c r="C1162" s="1" t="s">
        <v>47</v>
      </c>
      <c r="D1162" s="1"/>
      <c r="E1162" s="1" t="s">
        <v>4912</v>
      </c>
      <c r="F1162" s="1"/>
      <c r="G1162" s="1"/>
      <c r="H1162" s="1"/>
      <c r="I1162" s="1"/>
      <c r="J1162" s="1"/>
      <c r="K1162" s="1"/>
      <c r="L1162" s="1"/>
      <c r="M1162" s="1" t="s">
        <v>4913</v>
      </c>
      <c r="N1162" s="1" t="s">
        <v>95</v>
      </c>
      <c r="O1162" s="1" t="s">
        <v>96</v>
      </c>
      <c r="P1162" s="2">
        <v>43790.5142476852</v>
      </c>
      <c r="Q1162" s="1"/>
      <c r="R1162" s="1"/>
      <c r="S1162" s="1"/>
      <c r="T1162" s="1">
        <v>3106200.0</v>
      </c>
      <c r="U1162" s="1" t="s">
        <v>2933</v>
      </c>
      <c r="V1162" s="1" t="s">
        <v>126</v>
      </c>
      <c r="W1162" s="1" t="s">
        <v>127</v>
      </c>
      <c r="X1162" s="1"/>
      <c r="Y1162" s="1"/>
      <c r="Z1162" s="1" t="s">
        <v>98</v>
      </c>
      <c r="AA1162" s="1" t="s">
        <v>4914</v>
      </c>
      <c r="AB1162" s="1" t="str">
        <f>"***987346**"</f>
        <v>***987346**</v>
      </c>
      <c r="AC1162" s="1"/>
      <c r="AD1162" s="1" t="s">
        <v>62</v>
      </c>
      <c r="AE1162" s="1"/>
      <c r="AF1162" s="1">
        <v>-43.951668</v>
      </c>
      <c r="AG1162" s="1">
        <v>-19.934721</v>
      </c>
      <c r="AH1162" s="1" t="s">
        <v>4915</v>
      </c>
      <c r="AI1162" s="1"/>
      <c r="AJ1162" s="1" t="s">
        <v>131</v>
      </c>
      <c r="AK1162" s="1"/>
      <c r="AL1162" s="1"/>
      <c r="AM1162" s="1" t="s">
        <v>65</v>
      </c>
      <c r="AN1162" s="1"/>
      <c r="AO1162" s="1"/>
      <c r="AP1162" s="2">
        <v>43790.5258449074</v>
      </c>
      <c r="AQ1162" s="1"/>
      <c r="AR1162" s="1" t="s">
        <v>4916</v>
      </c>
      <c r="AS1162" s="1"/>
      <c r="AT1162" s="2">
        <v>44269.931099537</v>
      </c>
    </row>
    <row r="1163" ht="13.5" customHeight="1">
      <c r="A1163" s="1">
        <v>2034914.0</v>
      </c>
      <c r="B1163" s="1" t="s">
        <v>67</v>
      </c>
      <c r="C1163" s="1" t="s">
        <v>68</v>
      </c>
      <c r="D1163" s="1" t="s">
        <v>46</v>
      </c>
      <c r="E1163" s="1" t="s">
        <v>4917</v>
      </c>
      <c r="F1163" s="1"/>
      <c r="G1163" s="1" t="s">
        <v>70</v>
      </c>
      <c r="H1163" s="1" t="s">
        <v>93</v>
      </c>
      <c r="I1163" s="1">
        <v>22800.0</v>
      </c>
      <c r="J1163" s="1"/>
      <c r="K1163" s="1"/>
      <c r="L1163" s="1" t="s">
        <v>151</v>
      </c>
      <c r="M1163" s="1" t="s">
        <v>4918</v>
      </c>
      <c r="N1163" s="1" t="s">
        <v>142</v>
      </c>
      <c r="O1163" s="1" t="s">
        <v>143</v>
      </c>
      <c r="P1163" s="2">
        <v>43790.5</v>
      </c>
      <c r="Q1163" s="1" t="s">
        <v>373</v>
      </c>
      <c r="R1163" s="3">
        <v>43790.0</v>
      </c>
      <c r="S1163" s="1"/>
      <c r="T1163" s="1">
        <v>4302501.0</v>
      </c>
      <c r="U1163" s="1" t="s">
        <v>706</v>
      </c>
      <c r="V1163" s="1" t="s">
        <v>145</v>
      </c>
      <c r="W1163" s="1" t="s">
        <v>146</v>
      </c>
      <c r="X1163" s="1"/>
      <c r="Y1163" s="1" t="str">
        <f>"02023003659201901"</f>
        <v>02023003659201901</v>
      </c>
      <c r="Z1163" s="1" t="s">
        <v>147</v>
      </c>
      <c r="AA1163" s="1" t="s">
        <v>707</v>
      </c>
      <c r="AB1163" s="1" t="str">
        <f>"***027160**"</f>
        <v>***027160**</v>
      </c>
      <c r="AC1163" s="1"/>
      <c r="AD1163" s="1"/>
      <c r="AE1163" s="1"/>
      <c r="AF1163" s="1">
        <v>-54.792225</v>
      </c>
      <c r="AG1163" s="1">
        <v>-28.82</v>
      </c>
      <c r="AH1163" s="1" t="s">
        <v>4919</v>
      </c>
      <c r="AI1163" s="1"/>
      <c r="AJ1163" s="1" t="s">
        <v>151</v>
      </c>
      <c r="AK1163" s="1"/>
      <c r="AL1163" s="1" t="s">
        <v>79</v>
      </c>
      <c r="AM1163" s="1" t="s">
        <v>65</v>
      </c>
      <c r="AN1163" s="1" t="s">
        <v>709</v>
      </c>
      <c r="AO1163" s="2">
        <v>43892.0</v>
      </c>
      <c r="AP1163" s="2">
        <v>43892.7053125</v>
      </c>
      <c r="AQ1163" s="1" t="s">
        <v>80</v>
      </c>
      <c r="AR1163" s="1" t="s">
        <v>3298</v>
      </c>
      <c r="AS1163" s="1"/>
      <c r="AT1163" s="2">
        <v>44269.931099537</v>
      </c>
    </row>
    <row r="1164" ht="13.5" customHeight="1">
      <c r="A1164" s="1">
        <v>2035162.0</v>
      </c>
      <c r="B1164" s="1" t="s">
        <v>67</v>
      </c>
      <c r="C1164" s="1" t="s">
        <v>68</v>
      </c>
      <c r="D1164" s="1" t="s">
        <v>46</v>
      </c>
      <c r="E1164" s="1" t="s">
        <v>4920</v>
      </c>
      <c r="F1164" s="1"/>
      <c r="G1164" s="1" t="s">
        <v>70</v>
      </c>
      <c r="H1164" s="1" t="s">
        <v>93</v>
      </c>
      <c r="I1164" s="1">
        <v>68100.0</v>
      </c>
      <c r="J1164" s="1"/>
      <c r="K1164" s="1"/>
      <c r="L1164" s="1" t="s">
        <v>151</v>
      </c>
      <c r="M1164" s="1" t="s">
        <v>4921</v>
      </c>
      <c r="N1164" s="1" t="s">
        <v>142</v>
      </c>
      <c r="O1164" s="1" t="s">
        <v>143</v>
      </c>
      <c r="P1164" s="2">
        <v>43790.5</v>
      </c>
      <c r="Q1164" s="1" t="s">
        <v>373</v>
      </c>
      <c r="R1164" s="3">
        <v>43790.0</v>
      </c>
      <c r="S1164" s="1"/>
      <c r="T1164" s="1">
        <v>4317400.0</v>
      </c>
      <c r="U1164" s="1" t="s">
        <v>4826</v>
      </c>
      <c r="V1164" s="1" t="s">
        <v>145</v>
      </c>
      <c r="W1164" s="1" t="s">
        <v>146</v>
      </c>
      <c r="X1164" s="1"/>
      <c r="Y1164" s="1" t="str">
        <f>"02023000822202018"</f>
        <v>02023000822202018</v>
      </c>
      <c r="Z1164" s="1" t="s">
        <v>147</v>
      </c>
      <c r="AA1164" s="1" t="s">
        <v>4922</v>
      </c>
      <c r="AB1164" s="1" t="str">
        <f>"***403040**"</f>
        <v>***403040**</v>
      </c>
      <c r="AC1164" s="1"/>
      <c r="AD1164" s="1"/>
      <c r="AE1164" s="1"/>
      <c r="AF1164" s="1">
        <v>-54.691669</v>
      </c>
      <c r="AG1164" s="1">
        <v>-29.163889</v>
      </c>
      <c r="AH1164" s="1" t="s">
        <v>4923</v>
      </c>
      <c r="AI1164" s="1"/>
      <c r="AJ1164" s="1" t="s">
        <v>151</v>
      </c>
      <c r="AK1164" s="1"/>
      <c r="AL1164" s="1" t="s">
        <v>79</v>
      </c>
      <c r="AM1164" s="1" t="s">
        <v>65</v>
      </c>
      <c r="AN1164" s="1" t="s">
        <v>709</v>
      </c>
      <c r="AO1164" s="2">
        <v>43896.0</v>
      </c>
      <c r="AP1164" s="2">
        <v>43896.4265625</v>
      </c>
      <c r="AQ1164" s="1" t="s">
        <v>80</v>
      </c>
      <c r="AR1164" s="1" t="s">
        <v>3298</v>
      </c>
      <c r="AS1164" s="1"/>
      <c r="AT1164" s="2">
        <v>44269.931099537</v>
      </c>
    </row>
    <row r="1165" ht="13.5" customHeight="1">
      <c r="A1165" s="1"/>
      <c r="B1165" s="1" t="s">
        <v>46</v>
      </c>
      <c r="C1165" s="1" t="s">
        <v>47</v>
      </c>
      <c r="D1165" s="1"/>
      <c r="E1165" s="1" t="s">
        <v>4924</v>
      </c>
      <c r="F1165" s="1"/>
      <c r="G1165" s="1"/>
      <c r="H1165" s="1" t="s">
        <v>93</v>
      </c>
      <c r="I1165" s="1">
        <v>15000.0</v>
      </c>
      <c r="J1165" s="1"/>
      <c r="K1165" s="1" t="s">
        <v>51</v>
      </c>
      <c r="L1165" s="1"/>
      <c r="M1165" s="1" t="s">
        <v>4925</v>
      </c>
      <c r="N1165" s="1" t="s">
        <v>212</v>
      </c>
      <c r="O1165" s="1" t="s">
        <v>213</v>
      </c>
      <c r="P1165" s="2">
        <v>43790.4809837963</v>
      </c>
      <c r="Q1165" s="1" t="s">
        <v>74</v>
      </c>
      <c r="R1165" s="1"/>
      <c r="S1165" s="1"/>
      <c r="T1165" s="1">
        <v>2303709.0</v>
      </c>
      <c r="U1165" s="1" t="s">
        <v>3994</v>
      </c>
      <c r="V1165" s="1" t="s">
        <v>112</v>
      </c>
      <c r="W1165" s="1" t="s">
        <v>59</v>
      </c>
      <c r="X1165" s="1"/>
      <c r="Y1165" s="1"/>
      <c r="Z1165" s="1" t="s">
        <v>215</v>
      </c>
      <c r="AA1165" s="1" t="s">
        <v>4747</v>
      </c>
      <c r="AB1165" s="1" t="str">
        <f>"07186919000160"</f>
        <v>07186919000160</v>
      </c>
      <c r="AC1165" s="1"/>
      <c r="AD1165" s="1" t="s">
        <v>149</v>
      </c>
      <c r="AE1165" s="1"/>
      <c r="AF1165" s="1">
        <v>-38.740002</v>
      </c>
      <c r="AG1165" s="1">
        <v>-3.643889</v>
      </c>
      <c r="AH1165" s="1" t="s">
        <v>4926</v>
      </c>
      <c r="AI1165" s="1"/>
      <c r="AJ1165" s="1" t="s">
        <v>106</v>
      </c>
      <c r="AK1165" s="1"/>
      <c r="AL1165" s="1"/>
      <c r="AM1165" s="1" t="s">
        <v>65</v>
      </c>
      <c r="AN1165" s="1" t="s">
        <v>4660</v>
      </c>
      <c r="AO1165" s="1"/>
      <c r="AP1165" s="2">
        <v>43790.5464236111</v>
      </c>
      <c r="AQ1165" s="1"/>
      <c r="AR1165" s="1" t="s">
        <v>4927</v>
      </c>
      <c r="AS1165" s="1"/>
      <c r="AT1165" s="2">
        <v>44269.931099537</v>
      </c>
    </row>
    <row r="1166" ht="13.5" customHeight="1">
      <c r="A1166" s="1"/>
      <c r="B1166" s="1" t="s">
        <v>46</v>
      </c>
      <c r="C1166" s="1" t="s">
        <v>47</v>
      </c>
      <c r="D1166" s="1"/>
      <c r="E1166" s="1" t="s">
        <v>4928</v>
      </c>
      <c r="F1166" s="1"/>
      <c r="G1166" s="1" t="s">
        <v>49</v>
      </c>
      <c r="H1166" s="1" t="s">
        <v>93</v>
      </c>
      <c r="I1166" s="1">
        <v>1927500.0</v>
      </c>
      <c r="J1166" s="1"/>
      <c r="K1166" s="1"/>
      <c r="L1166" s="1"/>
      <c r="M1166" s="1" t="s">
        <v>4929</v>
      </c>
      <c r="N1166" s="1" t="s">
        <v>142</v>
      </c>
      <c r="O1166" s="1" t="s">
        <v>143</v>
      </c>
      <c r="P1166" s="2">
        <v>43790.4781481481</v>
      </c>
      <c r="Q1166" s="1" t="s">
        <v>74</v>
      </c>
      <c r="R1166" s="1"/>
      <c r="S1166" s="1"/>
      <c r="T1166" s="1">
        <v>1505809.0</v>
      </c>
      <c r="U1166" s="1" t="s">
        <v>3084</v>
      </c>
      <c r="V1166" s="1" t="s">
        <v>193</v>
      </c>
      <c r="W1166" s="1" t="s">
        <v>177</v>
      </c>
      <c r="X1166" s="1"/>
      <c r="Y1166" s="1"/>
      <c r="Z1166" s="1" t="s">
        <v>147</v>
      </c>
      <c r="AA1166" s="1" t="s">
        <v>4930</v>
      </c>
      <c r="AB1166" s="1" t="str">
        <f>"***825902**"</f>
        <v>***825902**</v>
      </c>
      <c r="AC1166" s="1"/>
      <c r="AD1166" s="1" t="s">
        <v>2103</v>
      </c>
      <c r="AE1166" s="1"/>
      <c r="AF1166" s="1">
        <v>-50.762501</v>
      </c>
      <c r="AG1166" s="1">
        <v>-3.269444</v>
      </c>
      <c r="AH1166" s="1" t="s">
        <v>4931</v>
      </c>
      <c r="AI1166" s="1"/>
      <c r="AJ1166" s="1" t="s">
        <v>172</v>
      </c>
      <c r="AK1166" s="1"/>
      <c r="AL1166" s="1"/>
      <c r="AM1166" s="1" t="s">
        <v>65</v>
      </c>
      <c r="AN1166" s="1" t="s">
        <v>1395</v>
      </c>
      <c r="AO1166" s="1"/>
      <c r="AP1166" s="2">
        <v>43790.5835648148</v>
      </c>
      <c r="AQ1166" s="1"/>
      <c r="AR1166" s="1" t="s">
        <v>4932</v>
      </c>
      <c r="AS1166" s="1" t="s">
        <v>4933</v>
      </c>
      <c r="AT1166" s="2">
        <v>44269.931099537</v>
      </c>
    </row>
    <row r="1167" ht="13.5" customHeight="1">
      <c r="A1167" s="1">
        <v>2034913.0</v>
      </c>
      <c r="B1167" s="1" t="s">
        <v>67</v>
      </c>
      <c r="C1167" s="1" t="s">
        <v>68</v>
      </c>
      <c r="D1167" s="1" t="s">
        <v>46</v>
      </c>
      <c r="E1167" s="1" t="s">
        <v>4934</v>
      </c>
      <c r="F1167" s="1"/>
      <c r="G1167" s="1" t="s">
        <v>70</v>
      </c>
      <c r="H1167" s="1" t="s">
        <v>93</v>
      </c>
      <c r="I1167" s="1">
        <v>59400.0</v>
      </c>
      <c r="J1167" s="1"/>
      <c r="K1167" s="1"/>
      <c r="L1167" s="1" t="s">
        <v>151</v>
      </c>
      <c r="M1167" s="1" t="s">
        <v>4935</v>
      </c>
      <c r="N1167" s="1" t="s">
        <v>142</v>
      </c>
      <c r="O1167" s="1" t="s">
        <v>143</v>
      </c>
      <c r="P1167" s="2">
        <v>43790.4583333333</v>
      </c>
      <c r="Q1167" s="1" t="s">
        <v>373</v>
      </c>
      <c r="R1167" s="3">
        <v>43790.0</v>
      </c>
      <c r="S1167" s="1"/>
      <c r="T1167" s="1">
        <v>4302501.0</v>
      </c>
      <c r="U1167" s="1" t="s">
        <v>706</v>
      </c>
      <c r="V1167" s="1" t="s">
        <v>145</v>
      </c>
      <c r="W1167" s="1" t="s">
        <v>146</v>
      </c>
      <c r="X1167" s="1"/>
      <c r="Y1167" s="1" t="str">
        <f>"02023003660201928"</f>
        <v>02023003660201928</v>
      </c>
      <c r="Z1167" s="1" t="s">
        <v>147</v>
      </c>
      <c r="AA1167" s="1" t="s">
        <v>707</v>
      </c>
      <c r="AB1167" s="1" t="str">
        <f>"***027160**"</f>
        <v>***027160**</v>
      </c>
      <c r="AC1167" s="1"/>
      <c r="AD1167" s="1"/>
      <c r="AE1167" s="1"/>
      <c r="AF1167" s="1">
        <v>-54.822777</v>
      </c>
      <c r="AG1167" s="1">
        <v>-28.866945</v>
      </c>
      <c r="AH1167" s="1" t="s">
        <v>4919</v>
      </c>
      <c r="AI1167" s="1"/>
      <c r="AJ1167" s="1" t="s">
        <v>151</v>
      </c>
      <c r="AK1167" s="1"/>
      <c r="AL1167" s="1" t="s">
        <v>79</v>
      </c>
      <c r="AM1167" s="1" t="s">
        <v>65</v>
      </c>
      <c r="AN1167" s="1" t="s">
        <v>709</v>
      </c>
      <c r="AO1167" s="2">
        <v>43892.0</v>
      </c>
      <c r="AP1167" s="2">
        <v>43892.7051967593</v>
      </c>
      <c r="AQ1167" s="1" t="s">
        <v>80</v>
      </c>
      <c r="AR1167" s="1" t="s">
        <v>3298</v>
      </c>
      <c r="AS1167" s="1"/>
      <c r="AT1167" s="2">
        <v>44269.931099537</v>
      </c>
    </row>
    <row r="1168" ht="13.5" customHeight="1">
      <c r="A1168" s="1">
        <v>2034912.0</v>
      </c>
      <c r="B1168" s="1" t="s">
        <v>67</v>
      </c>
      <c r="C1168" s="1" t="s">
        <v>68</v>
      </c>
      <c r="D1168" s="1" t="s">
        <v>46</v>
      </c>
      <c r="E1168" s="1" t="s">
        <v>4936</v>
      </c>
      <c r="F1168" s="1"/>
      <c r="G1168" s="1" t="s">
        <v>70</v>
      </c>
      <c r="H1168" s="1" t="s">
        <v>93</v>
      </c>
      <c r="I1168" s="1">
        <v>11100.0</v>
      </c>
      <c r="J1168" s="1"/>
      <c r="K1168" s="1"/>
      <c r="L1168" s="1" t="s">
        <v>151</v>
      </c>
      <c r="M1168" s="1" t="s">
        <v>4937</v>
      </c>
      <c r="N1168" s="1" t="s">
        <v>142</v>
      </c>
      <c r="O1168" s="1" t="s">
        <v>143</v>
      </c>
      <c r="P1168" s="2">
        <v>43790.4166666667</v>
      </c>
      <c r="Q1168" s="1" t="s">
        <v>373</v>
      </c>
      <c r="R1168" s="3">
        <v>43790.0</v>
      </c>
      <c r="S1168" s="1"/>
      <c r="T1168" s="1">
        <v>4302501.0</v>
      </c>
      <c r="U1168" s="1" t="s">
        <v>706</v>
      </c>
      <c r="V1168" s="1" t="s">
        <v>145</v>
      </c>
      <c r="W1168" s="1" t="s">
        <v>146</v>
      </c>
      <c r="X1168" s="1"/>
      <c r="Y1168" s="1" t="str">
        <f>"02023003671201916"</f>
        <v>02023003671201916</v>
      </c>
      <c r="Z1168" s="1" t="s">
        <v>147</v>
      </c>
      <c r="AA1168" s="1" t="s">
        <v>4938</v>
      </c>
      <c r="AB1168" s="1" t="str">
        <f>"***028150**"</f>
        <v>***028150**</v>
      </c>
      <c r="AC1168" s="1"/>
      <c r="AD1168" s="1"/>
      <c r="AE1168" s="1"/>
      <c r="AF1168" s="1">
        <v>-54.813335</v>
      </c>
      <c r="AG1168" s="1">
        <v>-28.765833</v>
      </c>
      <c r="AH1168" s="1" t="s">
        <v>4919</v>
      </c>
      <c r="AI1168" s="1"/>
      <c r="AJ1168" s="1" t="s">
        <v>151</v>
      </c>
      <c r="AK1168" s="1"/>
      <c r="AL1168" s="1" t="s">
        <v>79</v>
      </c>
      <c r="AM1168" s="1" t="s">
        <v>65</v>
      </c>
      <c r="AN1168" s="1" t="s">
        <v>709</v>
      </c>
      <c r="AO1168" s="2">
        <v>43892.0</v>
      </c>
      <c r="AP1168" s="2">
        <v>43892.7050462963</v>
      </c>
      <c r="AQ1168" s="1" t="s">
        <v>80</v>
      </c>
      <c r="AR1168" s="1" t="s">
        <v>3298</v>
      </c>
      <c r="AS1168" s="1"/>
      <c r="AT1168" s="2">
        <v>44269.931099537</v>
      </c>
    </row>
    <row r="1169" ht="13.5" customHeight="1">
      <c r="A1169" s="1">
        <v>2042963.0</v>
      </c>
      <c r="B1169" s="1" t="s">
        <v>67</v>
      </c>
      <c r="C1169" s="1" t="s">
        <v>68</v>
      </c>
      <c r="D1169" s="1" t="s">
        <v>46</v>
      </c>
      <c r="E1169" s="1" t="s">
        <v>4939</v>
      </c>
      <c r="F1169" s="1"/>
      <c r="G1169" s="1" t="s">
        <v>70</v>
      </c>
      <c r="H1169" s="1" t="s">
        <v>50</v>
      </c>
      <c r="I1169" s="1">
        <v>4000.0</v>
      </c>
      <c r="J1169" s="1"/>
      <c r="K1169" s="1"/>
      <c r="L1169" s="1" t="s">
        <v>65</v>
      </c>
      <c r="M1169" s="1" t="s">
        <v>4940</v>
      </c>
      <c r="N1169" s="1" t="s">
        <v>72</v>
      </c>
      <c r="O1169" s="1" t="s">
        <v>73</v>
      </c>
      <c r="P1169" s="2">
        <v>43790.4166666667</v>
      </c>
      <c r="Q1169" s="1" t="s">
        <v>74</v>
      </c>
      <c r="R1169" s="1"/>
      <c r="S1169" s="1"/>
      <c r="T1169" s="1">
        <v>5300108.0</v>
      </c>
      <c r="U1169" s="1" t="s">
        <v>1541</v>
      </c>
      <c r="V1169" s="1" t="s">
        <v>1542</v>
      </c>
      <c r="W1169" s="1" t="s">
        <v>177</v>
      </c>
      <c r="X1169" s="1"/>
      <c r="Y1169" s="1" t="str">
        <f>"02001033965201912"</f>
        <v>02001033965201912</v>
      </c>
      <c r="Z1169" s="1" t="s">
        <v>76</v>
      </c>
      <c r="AA1169" s="1" t="s">
        <v>1543</v>
      </c>
      <c r="AB1169" s="1" t="str">
        <f>"04892707000100"</f>
        <v>04892707000100</v>
      </c>
      <c r="AC1169" s="1"/>
      <c r="AD1169" s="1" t="s">
        <v>116</v>
      </c>
      <c r="AE1169" s="1"/>
      <c r="AF1169" s="1">
        <v>-47.875</v>
      </c>
      <c r="AG1169" s="1">
        <v>-15.790278</v>
      </c>
      <c r="AH1169" s="1" t="s">
        <v>4941</v>
      </c>
      <c r="AI1169" s="1"/>
      <c r="AJ1169" s="1" t="s">
        <v>172</v>
      </c>
      <c r="AK1169" s="1" t="s">
        <v>1564</v>
      </c>
      <c r="AL1169" s="1" t="s">
        <v>79</v>
      </c>
      <c r="AM1169" s="1" t="s">
        <v>65</v>
      </c>
      <c r="AN1169" s="1" t="s">
        <v>720</v>
      </c>
      <c r="AO1169" s="2">
        <v>44222.0</v>
      </c>
      <c r="AP1169" s="2">
        <v>44222.8284143519</v>
      </c>
      <c r="AQ1169" s="1" t="s">
        <v>80</v>
      </c>
      <c r="AR1169" s="1" t="s">
        <v>4942</v>
      </c>
      <c r="AS1169" s="1" t="s">
        <v>4943</v>
      </c>
      <c r="AT1169" s="2">
        <v>44269.931099537</v>
      </c>
    </row>
    <row r="1170" ht="13.5" customHeight="1">
      <c r="A1170" s="1">
        <v>2034402.0</v>
      </c>
      <c r="B1170" s="1" t="s">
        <v>67</v>
      </c>
      <c r="C1170" s="1" t="s">
        <v>68</v>
      </c>
      <c r="D1170" s="1" t="s">
        <v>46</v>
      </c>
      <c r="E1170" s="1">
        <v>207283.0</v>
      </c>
      <c r="F1170" s="1" t="s">
        <v>482</v>
      </c>
      <c r="G1170" s="1" t="s">
        <v>70</v>
      </c>
      <c r="H1170" s="1" t="s">
        <v>93</v>
      </c>
      <c r="I1170" s="1">
        <v>31800.0</v>
      </c>
      <c r="J1170" s="1"/>
      <c r="K1170" s="1"/>
      <c r="L1170" s="1" t="s">
        <v>483</v>
      </c>
      <c r="M1170" s="1" t="s">
        <v>4944</v>
      </c>
      <c r="N1170" s="1" t="s">
        <v>142</v>
      </c>
      <c r="O1170" s="1"/>
      <c r="P1170" s="2">
        <v>43790.40625</v>
      </c>
      <c r="Q1170" s="1" t="s">
        <v>373</v>
      </c>
      <c r="R1170" s="1"/>
      <c r="S1170" s="1"/>
      <c r="T1170" s="1">
        <v>1302504.0</v>
      </c>
      <c r="U1170" s="1" t="s">
        <v>4945</v>
      </c>
      <c r="V1170" s="1" t="s">
        <v>486</v>
      </c>
      <c r="W1170" s="1" t="s">
        <v>177</v>
      </c>
      <c r="X1170" s="1"/>
      <c r="Y1170" s="1" t="str">
        <f>"02005003325201948"</f>
        <v>02005003325201948</v>
      </c>
      <c r="Z1170" s="1" t="s">
        <v>147</v>
      </c>
      <c r="AA1170" s="1" t="s">
        <v>4946</v>
      </c>
      <c r="AB1170" s="1" t="str">
        <f t="shared" ref="AB1170:AB1171" si="64">"04238440000132"</f>
        <v>04238440000132</v>
      </c>
      <c r="AC1170" s="1"/>
      <c r="AD1170" s="1" t="s">
        <v>116</v>
      </c>
      <c r="AE1170" s="1"/>
      <c r="AF1170" s="1">
        <v>-60.653333</v>
      </c>
      <c r="AG1170" s="1">
        <v>-3.284167</v>
      </c>
      <c r="AH1170" s="1" t="s">
        <v>4947</v>
      </c>
      <c r="AI1170" s="1"/>
      <c r="AJ1170" s="1" t="s">
        <v>489</v>
      </c>
      <c r="AK1170" s="1"/>
      <c r="AL1170" s="1" t="s">
        <v>118</v>
      </c>
      <c r="AM1170" s="1"/>
      <c r="AN1170" s="1"/>
      <c r="AO1170" s="2">
        <v>43825.3594675926</v>
      </c>
      <c r="AP1170" s="2">
        <v>43844.3801273148</v>
      </c>
      <c r="AQ1170" s="1" t="s">
        <v>80</v>
      </c>
      <c r="AR1170" s="1" t="s">
        <v>4948</v>
      </c>
      <c r="AS1170" s="1"/>
      <c r="AT1170" s="2">
        <v>44269.931099537</v>
      </c>
    </row>
    <row r="1171" ht="13.5" customHeight="1">
      <c r="A1171" s="1">
        <v>2038549.0</v>
      </c>
      <c r="B1171" s="1" t="s">
        <v>67</v>
      </c>
      <c r="C1171" s="1" t="s">
        <v>68</v>
      </c>
      <c r="D1171" s="1" t="s">
        <v>46</v>
      </c>
      <c r="E1171" s="1">
        <v>207282.0</v>
      </c>
      <c r="F1171" s="1" t="s">
        <v>482</v>
      </c>
      <c r="G1171" s="1" t="s">
        <v>70</v>
      </c>
      <c r="H1171" s="1" t="s">
        <v>93</v>
      </c>
      <c r="I1171" s="1">
        <v>1500.0</v>
      </c>
      <c r="J1171" s="1"/>
      <c r="K1171" s="1"/>
      <c r="L1171" s="1" t="s">
        <v>483</v>
      </c>
      <c r="M1171" s="1" t="s">
        <v>4949</v>
      </c>
      <c r="N1171" s="1" t="s">
        <v>142</v>
      </c>
      <c r="O1171" s="1"/>
      <c r="P1171" s="2">
        <v>43790.375</v>
      </c>
      <c r="Q1171" s="1" t="s">
        <v>373</v>
      </c>
      <c r="R1171" s="1"/>
      <c r="S1171" s="1"/>
      <c r="T1171" s="1">
        <v>1302504.0</v>
      </c>
      <c r="U1171" s="1" t="s">
        <v>4945</v>
      </c>
      <c r="V1171" s="1" t="s">
        <v>486</v>
      </c>
      <c r="W1171" s="1" t="s">
        <v>177</v>
      </c>
      <c r="X1171" s="1"/>
      <c r="Y1171" s="1" t="str">
        <f>"02005003320201915"</f>
        <v>02005003320201915</v>
      </c>
      <c r="Z1171" s="1" t="s">
        <v>147</v>
      </c>
      <c r="AA1171" s="1" t="s">
        <v>4946</v>
      </c>
      <c r="AB1171" s="1" t="str">
        <f t="shared" si="64"/>
        <v>04238440000132</v>
      </c>
      <c r="AC1171" s="1"/>
      <c r="AD1171" s="1" t="s">
        <v>116</v>
      </c>
      <c r="AE1171" s="1"/>
      <c r="AF1171" s="1">
        <v>0.0</v>
      </c>
      <c r="AG1171" s="1">
        <v>0.0</v>
      </c>
      <c r="AH1171" s="1" t="s">
        <v>4950</v>
      </c>
      <c r="AI1171" s="1"/>
      <c r="AJ1171" s="1"/>
      <c r="AK1171" s="1"/>
      <c r="AL1171" s="1" t="s">
        <v>118</v>
      </c>
      <c r="AM1171" s="1"/>
      <c r="AN1171" s="1"/>
      <c r="AO1171" s="2">
        <v>44039.5142013889</v>
      </c>
      <c r="AP1171" s="2">
        <v>44039.5173726852</v>
      </c>
      <c r="AQ1171" s="1" t="s">
        <v>80</v>
      </c>
      <c r="AR1171" s="1" t="s">
        <v>4951</v>
      </c>
      <c r="AS1171" s="1"/>
      <c r="AT1171" s="2">
        <v>44269.931099537</v>
      </c>
    </row>
    <row r="1172" ht="13.5" customHeight="1">
      <c r="A1172" s="1"/>
      <c r="B1172" s="1" t="s">
        <v>46</v>
      </c>
      <c r="C1172" s="1" t="s">
        <v>47</v>
      </c>
      <c r="D1172" s="1"/>
      <c r="E1172" s="1" t="s">
        <v>4952</v>
      </c>
      <c r="F1172" s="1"/>
      <c r="G1172" s="1"/>
      <c r="H1172" s="1" t="s">
        <v>93</v>
      </c>
      <c r="I1172" s="1">
        <v>2023.2</v>
      </c>
      <c r="J1172" s="1"/>
      <c r="K1172" s="1" t="s">
        <v>51</v>
      </c>
      <c r="L1172" s="1"/>
      <c r="M1172" s="1" t="s">
        <v>4953</v>
      </c>
      <c r="N1172" s="1" t="s">
        <v>142</v>
      </c>
      <c r="O1172" s="1" t="s">
        <v>143</v>
      </c>
      <c r="P1172" s="2">
        <v>43790.307974537</v>
      </c>
      <c r="Q1172" s="1" t="s">
        <v>74</v>
      </c>
      <c r="R1172" s="3">
        <v>43790.0</v>
      </c>
      <c r="S1172" s="1"/>
      <c r="T1172" s="1">
        <v>2205706.0</v>
      </c>
      <c r="U1172" s="1" t="s">
        <v>1351</v>
      </c>
      <c r="V1172" s="1" t="s">
        <v>895</v>
      </c>
      <c r="W1172" s="1" t="s">
        <v>113</v>
      </c>
      <c r="X1172" s="1"/>
      <c r="Y1172" s="1"/>
      <c r="Z1172" s="1" t="s">
        <v>147</v>
      </c>
      <c r="AA1172" s="1" t="s">
        <v>4954</v>
      </c>
      <c r="AB1172" s="1" t="str">
        <f>"22071920000133"</f>
        <v>22071920000133</v>
      </c>
      <c r="AC1172" s="1"/>
      <c r="AD1172" s="1" t="s">
        <v>149</v>
      </c>
      <c r="AE1172" s="1"/>
      <c r="AF1172" s="1">
        <v>-41.77861</v>
      </c>
      <c r="AG1172" s="1">
        <v>-2.896667</v>
      </c>
      <c r="AH1172" s="1" t="s">
        <v>4955</v>
      </c>
      <c r="AI1172" s="1"/>
      <c r="AJ1172" s="1" t="s">
        <v>898</v>
      </c>
      <c r="AK1172" s="1"/>
      <c r="AL1172" s="1"/>
      <c r="AM1172" s="1" t="s">
        <v>65</v>
      </c>
      <c r="AN1172" s="1" t="s">
        <v>152</v>
      </c>
      <c r="AO1172" s="1"/>
      <c r="AP1172" s="2">
        <v>43790.3210416667</v>
      </c>
      <c r="AQ1172" s="1"/>
      <c r="AR1172" s="1" t="s">
        <v>4956</v>
      </c>
      <c r="AS1172" s="1"/>
      <c r="AT1172" s="2">
        <v>44269.931099537</v>
      </c>
    </row>
    <row r="1173" ht="13.5" customHeight="1">
      <c r="A1173" s="1">
        <v>2039485.0</v>
      </c>
      <c r="B1173" s="1" t="s">
        <v>67</v>
      </c>
      <c r="C1173" s="1" t="s">
        <v>68</v>
      </c>
      <c r="D1173" s="1" t="s">
        <v>46</v>
      </c>
      <c r="E1173" s="1" t="s">
        <v>4957</v>
      </c>
      <c r="F1173" s="1"/>
      <c r="G1173" s="1" t="s">
        <v>70</v>
      </c>
      <c r="H1173" s="1" t="s">
        <v>93</v>
      </c>
      <c r="I1173" s="1">
        <v>46800.0</v>
      </c>
      <c r="J1173" s="1"/>
      <c r="K1173" s="1"/>
      <c r="L1173" s="1" t="s">
        <v>537</v>
      </c>
      <c r="M1173" s="1" t="s">
        <v>4958</v>
      </c>
      <c r="N1173" s="1" t="s">
        <v>142</v>
      </c>
      <c r="O1173" s="1" t="s">
        <v>143</v>
      </c>
      <c r="P1173" s="2">
        <v>43790.2083333333</v>
      </c>
      <c r="Q1173" s="1" t="s">
        <v>55</v>
      </c>
      <c r="R1173" s="1"/>
      <c r="S1173" s="1"/>
      <c r="T1173" s="1">
        <v>2102804.0</v>
      </c>
      <c r="U1173" s="1" t="s">
        <v>4959</v>
      </c>
      <c r="V1173" s="1" t="s">
        <v>540</v>
      </c>
      <c r="W1173" s="1" t="s">
        <v>127</v>
      </c>
      <c r="X1173" s="1"/>
      <c r="Y1173" s="1" t="str">
        <f>"02012002113202098"</f>
        <v>02012002113202098</v>
      </c>
      <c r="Z1173" s="1" t="s">
        <v>147</v>
      </c>
      <c r="AA1173" s="1" t="s">
        <v>4960</v>
      </c>
      <c r="AB1173" s="1" t="str">
        <f>"***740773**"</f>
        <v>***740773**</v>
      </c>
      <c r="AC1173" s="1"/>
      <c r="AD1173" s="1"/>
      <c r="AE1173" s="1"/>
      <c r="AF1173" s="1">
        <v>-47.49889</v>
      </c>
      <c r="AG1173" s="1">
        <v>-6.878056</v>
      </c>
      <c r="AH1173" s="1" t="s">
        <v>4961</v>
      </c>
      <c r="AI1173" s="1"/>
      <c r="AJ1173" s="1" t="s">
        <v>537</v>
      </c>
      <c r="AK1173" s="1"/>
      <c r="AL1173" s="1" t="s">
        <v>79</v>
      </c>
      <c r="AM1173" s="1" t="s">
        <v>65</v>
      </c>
      <c r="AN1173" s="1" t="s">
        <v>4203</v>
      </c>
      <c r="AO1173" s="2">
        <v>44063.0</v>
      </c>
      <c r="AP1173" s="2">
        <v>44063.7559490741</v>
      </c>
      <c r="AQ1173" s="1" t="s">
        <v>80</v>
      </c>
      <c r="AR1173" s="1" t="s">
        <v>3298</v>
      </c>
      <c r="AS1173" s="1"/>
      <c r="AT1173" s="2">
        <v>44269.931099537</v>
      </c>
    </row>
    <row r="1174" ht="13.5" customHeight="1">
      <c r="A1174" s="1"/>
      <c r="B1174" s="1" t="s">
        <v>46</v>
      </c>
      <c r="C1174" s="1" t="s">
        <v>47</v>
      </c>
      <c r="D1174" s="1"/>
      <c r="E1174" s="1" t="s">
        <v>4962</v>
      </c>
      <c r="F1174" s="1"/>
      <c r="G1174" s="1" t="s">
        <v>49</v>
      </c>
      <c r="H1174" s="1" t="s">
        <v>93</v>
      </c>
      <c r="I1174" s="1">
        <v>817500.0</v>
      </c>
      <c r="J1174" s="1"/>
      <c r="K1174" s="1"/>
      <c r="L1174" s="1"/>
      <c r="M1174" s="1" t="s">
        <v>4963</v>
      </c>
      <c r="N1174" s="1" t="s">
        <v>142</v>
      </c>
      <c r="O1174" s="1" t="s">
        <v>143</v>
      </c>
      <c r="P1174" s="2">
        <v>43789.8490046296</v>
      </c>
      <c r="Q1174" s="1" t="s">
        <v>74</v>
      </c>
      <c r="R1174" s="3">
        <v>43789.0</v>
      </c>
      <c r="S1174" s="1"/>
      <c r="T1174" s="1">
        <v>1505064.0</v>
      </c>
      <c r="U1174" s="1" t="s">
        <v>2897</v>
      </c>
      <c r="V1174" s="1" t="s">
        <v>193</v>
      </c>
      <c r="W1174" s="1" t="s">
        <v>177</v>
      </c>
      <c r="X1174" s="1"/>
      <c r="Y1174" s="1"/>
      <c r="Z1174" s="1" t="s">
        <v>147</v>
      </c>
      <c r="AA1174" s="1" t="s">
        <v>4964</v>
      </c>
      <c r="AB1174" s="1" t="str">
        <f>"27433203000128"</f>
        <v>27433203000128</v>
      </c>
      <c r="AC1174" s="1"/>
      <c r="AD1174" s="1" t="s">
        <v>2103</v>
      </c>
      <c r="AE1174" s="1"/>
      <c r="AF1174" s="1">
        <v>-50.739445</v>
      </c>
      <c r="AG1174" s="1">
        <v>-4.306111</v>
      </c>
      <c r="AH1174" s="1" t="s">
        <v>4965</v>
      </c>
      <c r="AI1174" s="1"/>
      <c r="AJ1174" s="1" t="s">
        <v>172</v>
      </c>
      <c r="AK1174" s="1"/>
      <c r="AL1174" s="1"/>
      <c r="AM1174" s="1" t="s">
        <v>65</v>
      </c>
      <c r="AN1174" s="1" t="s">
        <v>1395</v>
      </c>
      <c r="AO1174" s="1"/>
      <c r="AP1174" s="2">
        <v>44123.8841087963</v>
      </c>
      <c r="AQ1174" s="1"/>
      <c r="AR1174" s="1" t="s">
        <v>4932</v>
      </c>
      <c r="AS1174" s="1" t="s">
        <v>4966</v>
      </c>
      <c r="AT1174" s="2">
        <v>44269.931099537</v>
      </c>
    </row>
    <row r="1175" ht="13.5" customHeight="1">
      <c r="A1175" s="1">
        <v>2039056.0</v>
      </c>
      <c r="B1175" s="1" t="s">
        <v>67</v>
      </c>
      <c r="C1175" s="1" t="s">
        <v>68</v>
      </c>
      <c r="D1175" s="1" t="s">
        <v>46</v>
      </c>
      <c r="E1175" s="1" t="s">
        <v>4967</v>
      </c>
      <c r="F1175" s="1"/>
      <c r="G1175" s="1" t="s">
        <v>70</v>
      </c>
      <c r="H1175" s="1" t="s">
        <v>93</v>
      </c>
      <c r="I1175" s="1">
        <v>170000.0</v>
      </c>
      <c r="J1175" s="1"/>
      <c r="K1175" s="1"/>
      <c r="L1175" s="1" t="s">
        <v>1172</v>
      </c>
      <c r="M1175" s="1" t="s">
        <v>4968</v>
      </c>
      <c r="N1175" s="1" t="s">
        <v>142</v>
      </c>
      <c r="O1175" s="1" t="s">
        <v>143</v>
      </c>
      <c r="P1175" s="2">
        <v>43789.8333333333</v>
      </c>
      <c r="Q1175" s="1" t="s">
        <v>74</v>
      </c>
      <c r="R1175" s="1"/>
      <c r="S1175" s="1"/>
      <c r="T1175" s="1">
        <v>1505486.0</v>
      </c>
      <c r="U1175" s="1" t="s">
        <v>3446</v>
      </c>
      <c r="V1175" s="1" t="s">
        <v>193</v>
      </c>
      <c r="W1175" s="1" t="s">
        <v>177</v>
      </c>
      <c r="X1175" s="1"/>
      <c r="Y1175" s="1"/>
      <c r="Z1175" s="1" t="s">
        <v>147</v>
      </c>
      <c r="AA1175" s="1" t="s">
        <v>4969</v>
      </c>
      <c r="AB1175" s="1" t="str">
        <f t="shared" ref="AB1175:AB1176" si="65">"***274377**"</f>
        <v>***274377**</v>
      </c>
      <c r="AC1175" s="1"/>
      <c r="AD1175" s="1"/>
      <c r="AE1175" s="1"/>
      <c r="AF1175" s="1">
        <v>-50.696114</v>
      </c>
      <c r="AG1175" s="1">
        <v>-4.274167</v>
      </c>
      <c r="AH1175" s="1" t="s">
        <v>4970</v>
      </c>
      <c r="AI1175" s="1"/>
      <c r="AJ1175" s="1" t="s">
        <v>1172</v>
      </c>
      <c r="AK1175" s="1"/>
      <c r="AL1175" s="1" t="s">
        <v>79</v>
      </c>
      <c r="AM1175" s="1" t="s">
        <v>65</v>
      </c>
      <c r="AN1175" s="1" t="s">
        <v>3087</v>
      </c>
      <c r="AO1175" s="2">
        <v>44053.0</v>
      </c>
      <c r="AP1175" s="2">
        <v>44053.6858333333</v>
      </c>
      <c r="AQ1175" s="1" t="s">
        <v>80</v>
      </c>
      <c r="AR1175" s="1" t="s">
        <v>392</v>
      </c>
      <c r="AS1175" s="1"/>
      <c r="AT1175" s="2">
        <v>44269.931099537</v>
      </c>
    </row>
    <row r="1176" ht="13.5" customHeight="1">
      <c r="A1176" s="1">
        <v>2039057.0</v>
      </c>
      <c r="B1176" s="1" t="s">
        <v>67</v>
      </c>
      <c r="C1176" s="1" t="s">
        <v>68</v>
      </c>
      <c r="D1176" s="1" t="s">
        <v>46</v>
      </c>
      <c r="E1176" s="1" t="s">
        <v>4971</v>
      </c>
      <c r="F1176" s="1"/>
      <c r="G1176" s="1" t="s">
        <v>70</v>
      </c>
      <c r="H1176" s="1" t="s">
        <v>50</v>
      </c>
      <c r="I1176" s="1">
        <v>17000.0</v>
      </c>
      <c r="J1176" s="1"/>
      <c r="K1176" s="1"/>
      <c r="L1176" s="1" t="s">
        <v>1172</v>
      </c>
      <c r="M1176" s="1" t="s">
        <v>4972</v>
      </c>
      <c r="N1176" s="1" t="s">
        <v>142</v>
      </c>
      <c r="O1176" s="1" t="s">
        <v>143</v>
      </c>
      <c r="P1176" s="2">
        <v>43789.8333333333</v>
      </c>
      <c r="Q1176" s="1" t="s">
        <v>74</v>
      </c>
      <c r="R1176" s="1"/>
      <c r="S1176" s="1"/>
      <c r="T1176" s="1">
        <v>1505486.0</v>
      </c>
      <c r="U1176" s="1" t="s">
        <v>3446</v>
      </c>
      <c r="V1176" s="1" t="s">
        <v>193</v>
      </c>
      <c r="W1176" s="1" t="s">
        <v>177</v>
      </c>
      <c r="X1176" s="1"/>
      <c r="Y1176" s="1" t="str">
        <f>"02047001229201979"</f>
        <v>02047001229201979</v>
      </c>
      <c r="Z1176" s="1" t="s">
        <v>147</v>
      </c>
      <c r="AA1176" s="1" t="s">
        <v>4969</v>
      </c>
      <c r="AB1176" s="1" t="str">
        <f t="shared" si="65"/>
        <v>***274377**</v>
      </c>
      <c r="AC1176" s="1"/>
      <c r="AD1176" s="1" t="s">
        <v>116</v>
      </c>
      <c r="AE1176" s="1"/>
      <c r="AF1176" s="1">
        <v>-50.696111</v>
      </c>
      <c r="AG1176" s="1">
        <v>-4.274167</v>
      </c>
      <c r="AH1176" s="1" t="s">
        <v>4973</v>
      </c>
      <c r="AI1176" s="1"/>
      <c r="AJ1176" s="1" t="s">
        <v>1172</v>
      </c>
      <c r="AK1176" s="1" t="s">
        <v>4040</v>
      </c>
      <c r="AL1176" s="1" t="s">
        <v>79</v>
      </c>
      <c r="AM1176" s="1" t="s">
        <v>65</v>
      </c>
      <c r="AN1176" s="1" t="s">
        <v>3087</v>
      </c>
      <c r="AO1176" s="2">
        <v>44053.0</v>
      </c>
      <c r="AP1176" s="2">
        <v>44077.6649305556</v>
      </c>
      <c r="AQ1176" s="1" t="s">
        <v>80</v>
      </c>
      <c r="AR1176" s="1" t="s">
        <v>4974</v>
      </c>
      <c r="AS1176" s="1"/>
      <c r="AT1176" s="2">
        <v>44269.931099537</v>
      </c>
    </row>
    <row r="1177" ht="13.5" customHeight="1">
      <c r="A1177" s="1">
        <v>2038466.0</v>
      </c>
      <c r="B1177" s="1" t="s">
        <v>67</v>
      </c>
      <c r="C1177" s="1" t="s">
        <v>68</v>
      </c>
      <c r="D1177" s="1" t="s">
        <v>46</v>
      </c>
      <c r="E1177" s="1" t="s">
        <v>4975</v>
      </c>
      <c r="F1177" s="1"/>
      <c r="G1177" s="1" t="s">
        <v>70</v>
      </c>
      <c r="H1177" s="1" t="s">
        <v>93</v>
      </c>
      <c r="I1177" s="1">
        <v>85000.0</v>
      </c>
      <c r="J1177" s="1"/>
      <c r="K1177" s="1"/>
      <c r="L1177" s="1" t="s">
        <v>1172</v>
      </c>
      <c r="M1177" s="1" t="s">
        <v>4976</v>
      </c>
      <c r="N1177" s="1" t="s">
        <v>142</v>
      </c>
      <c r="O1177" s="1" t="s">
        <v>143</v>
      </c>
      <c r="P1177" s="2">
        <v>43789.7916666667</v>
      </c>
      <c r="Q1177" s="1" t="s">
        <v>74</v>
      </c>
      <c r="R1177" s="3">
        <v>43788.0</v>
      </c>
      <c r="S1177" s="1"/>
      <c r="T1177" s="1">
        <v>1505486.0</v>
      </c>
      <c r="U1177" s="1" t="s">
        <v>3446</v>
      </c>
      <c r="V1177" s="1" t="s">
        <v>193</v>
      </c>
      <c r="W1177" s="1" t="s">
        <v>177</v>
      </c>
      <c r="X1177" s="1"/>
      <c r="Y1177" s="1"/>
      <c r="Z1177" s="1" t="s">
        <v>147</v>
      </c>
      <c r="AA1177" s="1" t="s">
        <v>4831</v>
      </c>
      <c r="AB1177" s="1" t="str">
        <f>"***458703**"</f>
        <v>***458703**</v>
      </c>
      <c r="AC1177" s="1"/>
      <c r="AD1177" s="1"/>
      <c r="AE1177" s="1"/>
      <c r="AF1177" s="1">
        <v>-50.104443</v>
      </c>
      <c r="AG1177" s="1">
        <v>-3.847778</v>
      </c>
      <c r="AH1177" s="1" t="s">
        <v>4977</v>
      </c>
      <c r="AI1177" s="1"/>
      <c r="AJ1177" s="1" t="s">
        <v>1172</v>
      </c>
      <c r="AK1177" s="1"/>
      <c r="AL1177" s="1" t="s">
        <v>79</v>
      </c>
      <c r="AM1177" s="1" t="s">
        <v>65</v>
      </c>
      <c r="AN1177" s="1" t="s">
        <v>3087</v>
      </c>
      <c r="AO1177" s="2">
        <v>44035.0</v>
      </c>
      <c r="AP1177" s="2">
        <v>44035.5722106481</v>
      </c>
      <c r="AQ1177" s="1" t="s">
        <v>80</v>
      </c>
      <c r="AR1177" s="1" t="s">
        <v>650</v>
      </c>
      <c r="AS1177" s="1"/>
      <c r="AT1177" s="2">
        <v>44269.931099537</v>
      </c>
    </row>
    <row r="1178" ht="13.5" customHeight="1">
      <c r="A1178" s="1"/>
      <c r="B1178" s="1" t="s">
        <v>46</v>
      </c>
      <c r="C1178" s="1" t="s">
        <v>657</v>
      </c>
      <c r="D1178" s="1" t="s">
        <v>67</v>
      </c>
      <c r="E1178" s="1" t="s">
        <v>4978</v>
      </c>
      <c r="F1178" s="1"/>
      <c r="G1178" s="1" t="s">
        <v>49</v>
      </c>
      <c r="H1178" s="1" t="s">
        <v>93</v>
      </c>
      <c r="I1178" s="1">
        <v>10000.0</v>
      </c>
      <c r="J1178" s="1"/>
      <c r="K1178" s="1"/>
      <c r="L1178" s="1"/>
      <c r="M1178" s="1" t="s">
        <v>4979</v>
      </c>
      <c r="N1178" s="1" t="s">
        <v>142</v>
      </c>
      <c r="O1178" s="1" t="s">
        <v>143</v>
      </c>
      <c r="P1178" s="2">
        <v>43789.7472453704</v>
      </c>
      <c r="Q1178" s="1" t="s">
        <v>74</v>
      </c>
      <c r="R1178" s="1"/>
      <c r="S1178" s="1"/>
      <c r="T1178" s="1">
        <v>1505064.0</v>
      </c>
      <c r="U1178" s="1" t="s">
        <v>2897</v>
      </c>
      <c r="V1178" s="1" t="s">
        <v>193</v>
      </c>
      <c r="W1178" s="1" t="s">
        <v>177</v>
      </c>
      <c r="X1178" s="1"/>
      <c r="Y1178" s="1"/>
      <c r="Z1178" s="1" t="s">
        <v>147</v>
      </c>
      <c r="AA1178" s="1" t="s">
        <v>2898</v>
      </c>
      <c r="AB1178" s="1" t="str">
        <f>"***103281**"</f>
        <v>***103281**</v>
      </c>
      <c r="AC1178" s="1"/>
      <c r="AD1178" s="1" t="s">
        <v>116</v>
      </c>
      <c r="AE1178" s="1"/>
      <c r="AF1178" s="1">
        <v>-50.590279</v>
      </c>
      <c r="AG1178" s="1">
        <v>-4.955277</v>
      </c>
      <c r="AH1178" s="1" t="s">
        <v>4980</v>
      </c>
      <c r="AI1178" s="1"/>
      <c r="AJ1178" s="1" t="s">
        <v>1172</v>
      </c>
      <c r="AK1178" s="1"/>
      <c r="AL1178" s="1"/>
      <c r="AM1178" s="1" t="s">
        <v>65</v>
      </c>
      <c r="AN1178" s="1" t="s">
        <v>3087</v>
      </c>
      <c r="AO1178" s="1"/>
      <c r="AP1178" s="2">
        <v>43789.757962963</v>
      </c>
      <c r="AQ1178" s="1"/>
      <c r="AR1178" s="1" t="s">
        <v>871</v>
      </c>
      <c r="AS1178" s="1"/>
      <c r="AT1178" s="2">
        <v>44269.931099537</v>
      </c>
    </row>
    <row r="1179" ht="13.5" customHeight="1">
      <c r="A1179" s="1"/>
      <c r="B1179" s="1" t="s">
        <v>46</v>
      </c>
      <c r="C1179" s="1" t="s">
        <v>47</v>
      </c>
      <c r="D1179" s="1"/>
      <c r="E1179" s="1" t="s">
        <v>4981</v>
      </c>
      <c r="F1179" s="1"/>
      <c r="G1179" s="1" t="s">
        <v>49</v>
      </c>
      <c r="H1179" s="1" t="s">
        <v>93</v>
      </c>
      <c r="I1179" s="1">
        <v>1.3405E7</v>
      </c>
      <c r="J1179" s="1"/>
      <c r="K1179" s="1"/>
      <c r="L1179" s="1"/>
      <c r="M1179" s="1" t="s">
        <v>4982</v>
      </c>
      <c r="N1179" s="1" t="s">
        <v>142</v>
      </c>
      <c r="O1179" s="1" t="s">
        <v>143</v>
      </c>
      <c r="P1179" s="2">
        <v>43789.7404050926</v>
      </c>
      <c r="Q1179" s="1" t="s">
        <v>74</v>
      </c>
      <c r="R1179" s="1"/>
      <c r="S1179" s="1"/>
      <c r="T1179" s="1">
        <v>1505502.0</v>
      </c>
      <c r="U1179" s="1" t="s">
        <v>1313</v>
      </c>
      <c r="V1179" s="1" t="s">
        <v>193</v>
      </c>
      <c r="W1179" s="1" t="s">
        <v>177</v>
      </c>
      <c r="X1179" s="1"/>
      <c r="Y1179" s="1"/>
      <c r="Z1179" s="1" t="s">
        <v>147</v>
      </c>
      <c r="AA1179" s="1" t="s">
        <v>4983</v>
      </c>
      <c r="AB1179" s="1" t="str">
        <f>"***875320**"</f>
        <v>***875320**</v>
      </c>
      <c r="AC1179" s="1"/>
      <c r="AD1179" s="1" t="s">
        <v>116</v>
      </c>
      <c r="AE1179" s="1"/>
      <c r="AF1179" s="1">
        <v>-48.517502</v>
      </c>
      <c r="AG1179" s="1">
        <v>-3.623889</v>
      </c>
      <c r="AH1179" s="1" t="s">
        <v>4984</v>
      </c>
      <c r="AI1179" s="1"/>
      <c r="AJ1179" s="1" t="s">
        <v>172</v>
      </c>
      <c r="AK1179" s="1"/>
      <c r="AL1179" s="1"/>
      <c r="AM1179" s="1" t="s">
        <v>65</v>
      </c>
      <c r="AN1179" s="1" t="s">
        <v>1395</v>
      </c>
      <c r="AO1179" s="1"/>
      <c r="AP1179" s="2">
        <v>43789.7891782407</v>
      </c>
      <c r="AQ1179" s="1"/>
      <c r="AR1179" s="1" t="s">
        <v>644</v>
      </c>
      <c r="AS1179" s="1"/>
      <c r="AT1179" s="2">
        <v>44269.931099537</v>
      </c>
    </row>
    <row r="1180" ht="13.5" customHeight="1">
      <c r="A1180" s="1">
        <v>2039055.0</v>
      </c>
      <c r="B1180" s="1" t="s">
        <v>67</v>
      </c>
      <c r="C1180" s="1" t="s">
        <v>68</v>
      </c>
      <c r="D1180" s="1" t="s">
        <v>46</v>
      </c>
      <c r="E1180" s="1" t="s">
        <v>4985</v>
      </c>
      <c r="F1180" s="1"/>
      <c r="G1180" s="1" t="s">
        <v>70</v>
      </c>
      <c r="H1180" s="1" t="s">
        <v>93</v>
      </c>
      <c r="I1180" s="1">
        <v>170000.0</v>
      </c>
      <c r="J1180" s="1"/>
      <c r="K1180" s="1"/>
      <c r="L1180" s="1" t="s">
        <v>1172</v>
      </c>
      <c r="M1180" s="1" t="s">
        <v>4986</v>
      </c>
      <c r="N1180" s="1" t="s">
        <v>142</v>
      </c>
      <c r="O1180" s="1" t="s">
        <v>143</v>
      </c>
      <c r="P1180" s="2">
        <v>43789.7083333333</v>
      </c>
      <c r="Q1180" s="1" t="s">
        <v>74</v>
      </c>
      <c r="R1180" s="1"/>
      <c r="S1180" s="1"/>
      <c r="T1180" s="1">
        <v>1505486.0</v>
      </c>
      <c r="U1180" s="1" t="s">
        <v>3446</v>
      </c>
      <c r="V1180" s="1" t="s">
        <v>193</v>
      </c>
      <c r="W1180" s="1" t="s">
        <v>177</v>
      </c>
      <c r="X1180" s="1"/>
      <c r="Y1180" s="1" t="str">
        <f>"02047001228201924"</f>
        <v>02047001228201924</v>
      </c>
      <c r="Z1180" s="1" t="s">
        <v>147</v>
      </c>
      <c r="AA1180" s="1" t="s">
        <v>4969</v>
      </c>
      <c r="AB1180" s="1" t="str">
        <f>"***274377**"</f>
        <v>***274377**</v>
      </c>
      <c r="AC1180" s="1"/>
      <c r="AD1180" s="1" t="s">
        <v>116</v>
      </c>
      <c r="AE1180" s="1"/>
      <c r="AF1180" s="1">
        <v>-50.696111</v>
      </c>
      <c r="AG1180" s="1">
        <v>-4.274444</v>
      </c>
      <c r="AH1180" s="1" t="s">
        <v>4987</v>
      </c>
      <c r="AI1180" s="1"/>
      <c r="AJ1180" s="1" t="s">
        <v>1172</v>
      </c>
      <c r="AK1180" s="1" t="s">
        <v>4988</v>
      </c>
      <c r="AL1180" s="1" t="s">
        <v>79</v>
      </c>
      <c r="AM1180" s="1" t="s">
        <v>65</v>
      </c>
      <c r="AN1180" s="1" t="s">
        <v>3087</v>
      </c>
      <c r="AO1180" s="2">
        <v>44053.0</v>
      </c>
      <c r="AP1180" s="2">
        <v>44120.6710416667</v>
      </c>
      <c r="AQ1180" s="1" t="s">
        <v>80</v>
      </c>
      <c r="AR1180" s="1" t="s">
        <v>4989</v>
      </c>
      <c r="AS1180" s="1"/>
      <c r="AT1180" s="2">
        <v>44269.931099537</v>
      </c>
    </row>
    <row r="1181" ht="13.5" customHeight="1">
      <c r="A1181" s="1"/>
      <c r="B1181" s="1" t="s">
        <v>46</v>
      </c>
      <c r="C1181" s="1" t="s">
        <v>47</v>
      </c>
      <c r="D1181" s="1"/>
      <c r="E1181" s="1" t="s">
        <v>4990</v>
      </c>
      <c r="F1181" s="1"/>
      <c r="G1181" s="1" t="s">
        <v>49</v>
      </c>
      <c r="H1181" s="1" t="s">
        <v>93</v>
      </c>
      <c r="I1181" s="1">
        <v>3645000.0</v>
      </c>
      <c r="J1181" s="1"/>
      <c r="K1181" s="1"/>
      <c r="L1181" s="1"/>
      <c r="M1181" s="1" t="s">
        <v>4991</v>
      </c>
      <c r="N1181" s="1" t="s">
        <v>142</v>
      </c>
      <c r="O1181" s="1" t="s">
        <v>143</v>
      </c>
      <c r="P1181" s="2">
        <v>43789.6986111111</v>
      </c>
      <c r="Q1181" s="1" t="s">
        <v>74</v>
      </c>
      <c r="R1181" s="1"/>
      <c r="S1181" s="1"/>
      <c r="T1181" s="1">
        <v>1505064.0</v>
      </c>
      <c r="U1181" s="1" t="s">
        <v>2897</v>
      </c>
      <c r="V1181" s="1" t="s">
        <v>193</v>
      </c>
      <c r="W1181" s="1" t="s">
        <v>177</v>
      </c>
      <c r="X1181" s="1"/>
      <c r="Y1181" s="1"/>
      <c r="Z1181" s="1" t="s">
        <v>147</v>
      </c>
      <c r="AA1181" s="1" t="s">
        <v>4992</v>
      </c>
      <c r="AB1181" s="1" t="str">
        <f>"08093683000180"</f>
        <v>08093683000180</v>
      </c>
      <c r="AC1181" s="1"/>
      <c r="AD1181" s="1" t="s">
        <v>2103</v>
      </c>
      <c r="AE1181" s="1"/>
      <c r="AF1181" s="1">
        <v>-50.753334</v>
      </c>
      <c r="AG1181" s="1">
        <v>-4.298889</v>
      </c>
      <c r="AH1181" s="1" t="s">
        <v>4993</v>
      </c>
      <c r="AI1181" s="1"/>
      <c r="AJ1181" s="1" t="s">
        <v>172</v>
      </c>
      <c r="AK1181" s="1"/>
      <c r="AL1181" s="1"/>
      <c r="AM1181" s="1" t="s">
        <v>65</v>
      </c>
      <c r="AN1181" s="1" t="s">
        <v>1395</v>
      </c>
      <c r="AO1181" s="1"/>
      <c r="AP1181" s="2">
        <v>43789.710474537</v>
      </c>
      <c r="AQ1181" s="1"/>
      <c r="AR1181" s="1" t="s">
        <v>871</v>
      </c>
      <c r="AS1181" s="1" t="s">
        <v>4994</v>
      </c>
      <c r="AT1181" s="2">
        <v>44269.931099537</v>
      </c>
    </row>
    <row r="1182" ht="13.5" customHeight="1">
      <c r="A1182" s="1">
        <v>2038877.0</v>
      </c>
      <c r="B1182" s="1" t="s">
        <v>67</v>
      </c>
      <c r="C1182" s="1" t="s">
        <v>68</v>
      </c>
      <c r="D1182" s="1" t="s">
        <v>46</v>
      </c>
      <c r="E1182" s="1" t="s">
        <v>4995</v>
      </c>
      <c r="F1182" s="1"/>
      <c r="G1182" s="1" t="s">
        <v>70</v>
      </c>
      <c r="H1182" s="1" t="s">
        <v>93</v>
      </c>
      <c r="I1182" s="1">
        <v>5205000.0</v>
      </c>
      <c r="J1182" s="1"/>
      <c r="K1182" s="1"/>
      <c r="L1182" s="1" t="s">
        <v>1172</v>
      </c>
      <c r="M1182" s="1" t="s">
        <v>4996</v>
      </c>
      <c r="N1182" s="1" t="s">
        <v>142</v>
      </c>
      <c r="O1182" s="1" t="s">
        <v>143</v>
      </c>
      <c r="P1182" s="2">
        <v>43789.6666666667</v>
      </c>
      <c r="Q1182" s="1" t="s">
        <v>74</v>
      </c>
      <c r="R1182" s="1"/>
      <c r="S1182" s="1"/>
      <c r="T1182" s="1">
        <v>1505486.0</v>
      </c>
      <c r="U1182" s="1" t="s">
        <v>3446</v>
      </c>
      <c r="V1182" s="1" t="s">
        <v>193</v>
      </c>
      <c r="W1182" s="1" t="s">
        <v>177</v>
      </c>
      <c r="X1182" s="1"/>
      <c r="Y1182" s="1"/>
      <c r="Z1182" s="1" t="s">
        <v>147</v>
      </c>
      <c r="AA1182" s="1" t="s">
        <v>4997</v>
      </c>
      <c r="AB1182" s="1" t="str">
        <f>"***321972**"</f>
        <v>***321972**</v>
      </c>
      <c r="AC1182" s="1"/>
      <c r="AD1182" s="1"/>
      <c r="AE1182" s="1"/>
      <c r="AF1182" s="1">
        <v>-50.747501</v>
      </c>
      <c r="AG1182" s="1">
        <v>-4.286667</v>
      </c>
      <c r="AH1182" s="1" t="s">
        <v>4998</v>
      </c>
      <c r="AI1182" s="1"/>
      <c r="AJ1182" s="1" t="s">
        <v>1172</v>
      </c>
      <c r="AK1182" s="1"/>
      <c r="AL1182" s="1" t="s">
        <v>79</v>
      </c>
      <c r="AM1182" s="1" t="s">
        <v>65</v>
      </c>
      <c r="AN1182" s="1" t="s">
        <v>3087</v>
      </c>
      <c r="AO1182" s="2">
        <v>44047.0</v>
      </c>
      <c r="AP1182" s="2">
        <v>44047.5996990741</v>
      </c>
      <c r="AQ1182" s="1" t="s">
        <v>80</v>
      </c>
      <c r="AR1182" s="1" t="s">
        <v>650</v>
      </c>
      <c r="AS1182" s="1"/>
      <c r="AT1182" s="2">
        <v>44269.931099537</v>
      </c>
    </row>
    <row r="1183" ht="13.5" customHeight="1">
      <c r="A1183" s="1"/>
      <c r="B1183" s="1" t="s">
        <v>46</v>
      </c>
      <c r="C1183" s="1" t="s">
        <v>47</v>
      </c>
      <c r="D1183" s="1"/>
      <c r="E1183" s="1" t="s">
        <v>4999</v>
      </c>
      <c r="F1183" s="1"/>
      <c r="G1183" s="1"/>
      <c r="H1183" s="1" t="s">
        <v>93</v>
      </c>
      <c r="I1183" s="1">
        <v>15000.0</v>
      </c>
      <c r="J1183" s="1"/>
      <c r="K1183" s="1"/>
      <c r="L1183" s="1"/>
      <c r="M1183" s="1" t="s">
        <v>5000</v>
      </c>
      <c r="N1183" s="1" t="s">
        <v>142</v>
      </c>
      <c r="O1183" s="1" t="s">
        <v>143</v>
      </c>
      <c r="P1183" s="2">
        <v>43789.6618634259</v>
      </c>
      <c r="Q1183" s="1" t="s">
        <v>373</v>
      </c>
      <c r="R1183" s="1"/>
      <c r="S1183" s="1"/>
      <c r="T1183" s="1">
        <v>1718840.0</v>
      </c>
      <c r="U1183" s="1" t="s">
        <v>4808</v>
      </c>
      <c r="V1183" s="1" t="s">
        <v>2156</v>
      </c>
      <c r="W1183" s="1" t="s">
        <v>127</v>
      </c>
      <c r="X1183" s="1"/>
      <c r="Y1183" s="1"/>
      <c r="Z1183" s="1" t="s">
        <v>147</v>
      </c>
      <c r="AA1183" s="1" t="s">
        <v>5001</v>
      </c>
      <c r="AB1183" s="1" t="str">
        <f>"***216951**"</f>
        <v>***216951**</v>
      </c>
      <c r="AC1183" s="1"/>
      <c r="AD1183" s="1" t="s">
        <v>116</v>
      </c>
      <c r="AE1183" s="1"/>
      <c r="AF1183" s="1">
        <v>-49.987499</v>
      </c>
      <c r="AG1183" s="1">
        <v>-12.677778</v>
      </c>
      <c r="AH1183" s="1" t="s">
        <v>5002</v>
      </c>
      <c r="AI1183" s="1"/>
      <c r="AJ1183" s="1" t="s">
        <v>386</v>
      </c>
      <c r="AK1183" s="1"/>
      <c r="AL1183" s="1"/>
      <c r="AM1183" s="1" t="s">
        <v>65</v>
      </c>
      <c r="AN1183" s="1" t="s">
        <v>4237</v>
      </c>
      <c r="AO1183" s="1"/>
      <c r="AP1183" s="2">
        <v>43789.9791319444</v>
      </c>
      <c r="AQ1183" s="1"/>
      <c r="AR1183" s="1" t="s">
        <v>2055</v>
      </c>
      <c r="AS1183" s="1"/>
      <c r="AT1183" s="2">
        <v>44269.931099537</v>
      </c>
    </row>
    <row r="1184" ht="13.5" customHeight="1">
      <c r="A1184" s="1">
        <v>2038881.0</v>
      </c>
      <c r="B1184" s="1" t="s">
        <v>67</v>
      </c>
      <c r="C1184" s="1" t="s">
        <v>68</v>
      </c>
      <c r="D1184" s="1" t="s">
        <v>46</v>
      </c>
      <c r="E1184" s="1" t="s">
        <v>5003</v>
      </c>
      <c r="F1184" s="1"/>
      <c r="G1184" s="1" t="s">
        <v>70</v>
      </c>
      <c r="H1184" s="1" t="s">
        <v>93</v>
      </c>
      <c r="I1184" s="1">
        <v>57500.0</v>
      </c>
      <c r="J1184" s="1"/>
      <c r="K1184" s="1"/>
      <c r="L1184" s="1" t="s">
        <v>1172</v>
      </c>
      <c r="M1184" s="1" t="s">
        <v>5004</v>
      </c>
      <c r="N1184" s="1" t="s">
        <v>142</v>
      </c>
      <c r="O1184" s="1" t="s">
        <v>143</v>
      </c>
      <c r="P1184" s="2">
        <v>43789.625</v>
      </c>
      <c r="Q1184" s="1" t="s">
        <v>74</v>
      </c>
      <c r="R1184" s="1"/>
      <c r="S1184" s="1"/>
      <c r="T1184" s="1">
        <v>1505486.0</v>
      </c>
      <c r="U1184" s="1" t="s">
        <v>3446</v>
      </c>
      <c r="V1184" s="1" t="s">
        <v>193</v>
      </c>
      <c r="W1184" s="1" t="s">
        <v>177</v>
      </c>
      <c r="X1184" s="1"/>
      <c r="Y1184" s="1"/>
      <c r="Z1184" s="1" t="s">
        <v>147</v>
      </c>
      <c r="AA1184" s="1" t="s">
        <v>4997</v>
      </c>
      <c r="AB1184" s="1" t="str">
        <f t="shared" ref="AB1184:AB1185" si="66">"***321972**"</f>
        <v>***321972**</v>
      </c>
      <c r="AC1184" s="1"/>
      <c r="AD1184" s="1"/>
      <c r="AE1184" s="1"/>
      <c r="AF1184" s="1">
        <v>-50.734722</v>
      </c>
      <c r="AG1184" s="1">
        <v>-4.270278</v>
      </c>
      <c r="AH1184" s="1" t="s">
        <v>5005</v>
      </c>
      <c r="AI1184" s="1"/>
      <c r="AJ1184" s="1" t="s">
        <v>1172</v>
      </c>
      <c r="AK1184" s="1"/>
      <c r="AL1184" s="1" t="s">
        <v>79</v>
      </c>
      <c r="AM1184" s="1" t="s">
        <v>65</v>
      </c>
      <c r="AN1184" s="1" t="s">
        <v>3087</v>
      </c>
      <c r="AO1184" s="2">
        <v>44047.0</v>
      </c>
      <c r="AP1184" s="2">
        <v>44047.7296643519</v>
      </c>
      <c r="AQ1184" s="1" t="s">
        <v>80</v>
      </c>
      <c r="AR1184" s="1" t="s">
        <v>1607</v>
      </c>
      <c r="AS1184" s="1"/>
      <c r="AT1184" s="2">
        <v>44269.931099537</v>
      </c>
    </row>
    <row r="1185" ht="13.5" customHeight="1">
      <c r="A1185" s="1">
        <v>2038882.0</v>
      </c>
      <c r="B1185" s="1" t="s">
        <v>67</v>
      </c>
      <c r="C1185" s="1" t="s">
        <v>68</v>
      </c>
      <c r="D1185" s="1" t="s">
        <v>46</v>
      </c>
      <c r="E1185" s="1" t="s">
        <v>5006</v>
      </c>
      <c r="F1185" s="1"/>
      <c r="G1185" s="1" t="s">
        <v>70</v>
      </c>
      <c r="H1185" s="1" t="s">
        <v>93</v>
      </c>
      <c r="I1185" s="1">
        <v>575000.0</v>
      </c>
      <c r="J1185" s="1"/>
      <c r="K1185" s="1"/>
      <c r="L1185" s="1" t="s">
        <v>1172</v>
      </c>
      <c r="M1185" s="1" t="s">
        <v>5007</v>
      </c>
      <c r="N1185" s="1" t="s">
        <v>142</v>
      </c>
      <c r="O1185" s="1" t="s">
        <v>143</v>
      </c>
      <c r="P1185" s="2">
        <v>43789.625</v>
      </c>
      <c r="Q1185" s="1" t="s">
        <v>74</v>
      </c>
      <c r="R1185" s="1"/>
      <c r="S1185" s="1"/>
      <c r="T1185" s="1">
        <v>1505486.0</v>
      </c>
      <c r="U1185" s="1" t="s">
        <v>3446</v>
      </c>
      <c r="V1185" s="1" t="s">
        <v>193</v>
      </c>
      <c r="W1185" s="1" t="s">
        <v>177</v>
      </c>
      <c r="X1185" s="1"/>
      <c r="Y1185" s="1"/>
      <c r="Z1185" s="1" t="s">
        <v>147</v>
      </c>
      <c r="AA1185" s="1" t="s">
        <v>4997</v>
      </c>
      <c r="AB1185" s="1" t="str">
        <f t="shared" si="66"/>
        <v>***321972**</v>
      </c>
      <c r="AC1185" s="1"/>
      <c r="AD1185" s="1"/>
      <c r="AE1185" s="1"/>
      <c r="AF1185" s="1">
        <v>-50.735279</v>
      </c>
      <c r="AG1185" s="1">
        <v>-4.271667</v>
      </c>
      <c r="AH1185" s="1" t="s">
        <v>5008</v>
      </c>
      <c r="AI1185" s="1"/>
      <c r="AJ1185" s="1" t="s">
        <v>1172</v>
      </c>
      <c r="AK1185" s="1"/>
      <c r="AL1185" s="1" t="s">
        <v>79</v>
      </c>
      <c r="AM1185" s="1" t="s">
        <v>65</v>
      </c>
      <c r="AN1185" s="1" t="s">
        <v>3087</v>
      </c>
      <c r="AO1185" s="2">
        <v>44047.0</v>
      </c>
      <c r="AP1185" s="2">
        <v>44047.7297800926</v>
      </c>
      <c r="AQ1185" s="1" t="s">
        <v>80</v>
      </c>
      <c r="AR1185" s="1" t="s">
        <v>392</v>
      </c>
      <c r="AS1185" s="1"/>
      <c r="AT1185" s="2">
        <v>44269.931099537</v>
      </c>
    </row>
    <row r="1186" ht="13.5" customHeight="1">
      <c r="A1186" s="1"/>
      <c r="B1186" s="1" t="s">
        <v>46</v>
      </c>
      <c r="C1186" s="1" t="s">
        <v>47</v>
      </c>
      <c r="D1186" s="1"/>
      <c r="E1186" s="1" t="s">
        <v>5009</v>
      </c>
      <c r="F1186" s="1"/>
      <c r="G1186" s="1" t="s">
        <v>49</v>
      </c>
      <c r="H1186" s="1" t="s">
        <v>50</v>
      </c>
      <c r="I1186" s="1">
        <v>7994.7</v>
      </c>
      <c r="J1186" s="1"/>
      <c r="K1186" s="1" t="s">
        <v>51</v>
      </c>
      <c r="L1186" s="1"/>
      <c r="M1186" s="1" t="s">
        <v>5010</v>
      </c>
      <c r="N1186" s="1" t="s">
        <v>142</v>
      </c>
      <c r="O1186" s="1" t="s">
        <v>143</v>
      </c>
      <c r="P1186" s="2">
        <v>43789.6247106482</v>
      </c>
      <c r="Q1186" s="1" t="s">
        <v>74</v>
      </c>
      <c r="R1186" s="3">
        <v>43789.0</v>
      </c>
      <c r="S1186" s="1"/>
      <c r="T1186" s="1">
        <v>2205706.0</v>
      </c>
      <c r="U1186" s="1" t="s">
        <v>1351</v>
      </c>
      <c r="V1186" s="1" t="s">
        <v>895</v>
      </c>
      <c r="W1186" s="1" t="s">
        <v>127</v>
      </c>
      <c r="X1186" s="1"/>
      <c r="Y1186" s="1"/>
      <c r="Z1186" s="1" t="s">
        <v>147</v>
      </c>
      <c r="AA1186" s="1" t="s">
        <v>5011</v>
      </c>
      <c r="AB1186" s="1" t="str">
        <f>"02056346000137"</f>
        <v>02056346000137</v>
      </c>
      <c r="AC1186" s="1"/>
      <c r="AD1186" s="1" t="s">
        <v>149</v>
      </c>
      <c r="AE1186" s="1"/>
      <c r="AF1186" s="1">
        <v>-41.77861</v>
      </c>
      <c r="AG1186" s="1">
        <v>-2.896667</v>
      </c>
      <c r="AH1186" s="1" t="s">
        <v>5012</v>
      </c>
      <c r="AI1186" s="1"/>
      <c r="AJ1186" s="1" t="s">
        <v>898</v>
      </c>
      <c r="AK1186" s="1"/>
      <c r="AL1186" s="1"/>
      <c r="AM1186" s="1" t="s">
        <v>65</v>
      </c>
      <c r="AN1186" s="1" t="s">
        <v>152</v>
      </c>
      <c r="AO1186" s="1"/>
      <c r="AP1186" s="2">
        <v>44050.7602199074</v>
      </c>
      <c r="AQ1186" s="1"/>
      <c r="AR1186" s="1" t="s">
        <v>4956</v>
      </c>
      <c r="AS1186" s="1"/>
      <c r="AT1186" s="2">
        <v>44269.931099537</v>
      </c>
    </row>
    <row r="1187" ht="13.5" customHeight="1">
      <c r="A1187" s="1">
        <v>2035377.0</v>
      </c>
      <c r="B1187" s="1" t="s">
        <v>67</v>
      </c>
      <c r="C1187" s="1" t="s">
        <v>68</v>
      </c>
      <c r="D1187" s="1" t="s">
        <v>46</v>
      </c>
      <c r="E1187" s="1" t="s">
        <v>5013</v>
      </c>
      <c r="F1187" s="1"/>
      <c r="G1187" s="1" t="s">
        <v>70</v>
      </c>
      <c r="H1187" s="1" t="s">
        <v>93</v>
      </c>
      <c r="I1187" s="1">
        <v>1760000.0</v>
      </c>
      <c r="J1187" s="1"/>
      <c r="K1187" s="1"/>
      <c r="L1187" s="1" t="s">
        <v>172</v>
      </c>
      <c r="M1187" s="1" t="s">
        <v>5014</v>
      </c>
      <c r="N1187" s="1" t="s">
        <v>5015</v>
      </c>
      <c r="O1187" s="1" t="s">
        <v>5016</v>
      </c>
      <c r="P1187" s="2">
        <v>43789.5833333333</v>
      </c>
      <c r="Q1187" s="1" t="s">
        <v>373</v>
      </c>
      <c r="R1187" s="3">
        <v>43789.0</v>
      </c>
      <c r="S1187" s="1"/>
      <c r="T1187" s="1">
        <v>1100338.0</v>
      </c>
      <c r="U1187" s="1" t="s">
        <v>5017</v>
      </c>
      <c r="V1187" s="1" t="s">
        <v>448</v>
      </c>
      <c r="W1187" s="1" t="s">
        <v>177</v>
      </c>
      <c r="X1187" s="1"/>
      <c r="Y1187" s="1" t="str">
        <f>"02001006607202071"</f>
        <v>02001006607202071</v>
      </c>
      <c r="Z1187" s="1" t="s">
        <v>5018</v>
      </c>
      <c r="AA1187" s="1" t="s">
        <v>5019</v>
      </c>
      <c r="AB1187" s="1" t="str">
        <f>"***291292**"</f>
        <v>***291292**</v>
      </c>
      <c r="AC1187" s="1"/>
      <c r="AD1187" s="1"/>
      <c r="AE1187" s="1"/>
      <c r="AF1187" s="1">
        <v>-65.181107</v>
      </c>
      <c r="AG1187" s="1">
        <v>-10.926945</v>
      </c>
      <c r="AH1187" s="1" t="s">
        <v>5020</v>
      </c>
      <c r="AI1187" s="1"/>
      <c r="AJ1187" s="1" t="s">
        <v>172</v>
      </c>
      <c r="AK1187" s="1"/>
      <c r="AL1187" s="1" t="s">
        <v>79</v>
      </c>
      <c r="AM1187" s="1" t="s">
        <v>65</v>
      </c>
      <c r="AN1187" s="1" t="s">
        <v>1395</v>
      </c>
      <c r="AO1187" s="2">
        <v>43901.0</v>
      </c>
      <c r="AP1187" s="2">
        <v>43901.6632407408</v>
      </c>
      <c r="AQ1187" s="1" t="s">
        <v>80</v>
      </c>
      <c r="AR1187" s="1" t="s">
        <v>5021</v>
      </c>
      <c r="AS1187" s="1"/>
      <c r="AT1187" s="2">
        <v>44269.931099537</v>
      </c>
    </row>
    <row r="1188" ht="13.5" customHeight="1">
      <c r="A1188" s="1">
        <v>2043035.0</v>
      </c>
      <c r="B1188" s="1" t="s">
        <v>67</v>
      </c>
      <c r="C1188" s="1" t="s">
        <v>68</v>
      </c>
      <c r="D1188" s="1" t="s">
        <v>46</v>
      </c>
      <c r="E1188" s="1" t="s">
        <v>5022</v>
      </c>
      <c r="F1188" s="1"/>
      <c r="G1188" s="1" t="s">
        <v>70</v>
      </c>
      <c r="H1188" s="1" t="s">
        <v>93</v>
      </c>
      <c r="I1188" s="1">
        <v>2406.6</v>
      </c>
      <c r="J1188" s="1"/>
      <c r="K1188" s="1"/>
      <c r="L1188" s="1" t="s">
        <v>898</v>
      </c>
      <c r="M1188" s="1" t="s">
        <v>5023</v>
      </c>
      <c r="N1188" s="1" t="s">
        <v>142</v>
      </c>
      <c r="O1188" s="1" t="s">
        <v>143</v>
      </c>
      <c r="P1188" s="2">
        <v>43789.5833333333</v>
      </c>
      <c r="Q1188" s="1" t="s">
        <v>373</v>
      </c>
      <c r="R1188" s="3">
        <v>43789.0</v>
      </c>
      <c r="S1188" s="1"/>
      <c r="T1188" s="1">
        <v>2207702.0</v>
      </c>
      <c r="U1188" s="1" t="s">
        <v>1190</v>
      </c>
      <c r="V1188" s="1" t="s">
        <v>895</v>
      </c>
      <c r="W1188" s="1" t="s">
        <v>113</v>
      </c>
      <c r="X1188" s="1"/>
      <c r="Y1188" s="1"/>
      <c r="Z1188" s="1" t="s">
        <v>147</v>
      </c>
      <c r="AA1188" s="1" t="s">
        <v>5024</v>
      </c>
      <c r="AB1188" s="1" t="str">
        <f>"22012877000135"</f>
        <v>22012877000135</v>
      </c>
      <c r="AC1188" s="1"/>
      <c r="AD1188" s="1"/>
      <c r="AE1188" s="1"/>
      <c r="AF1188" s="1">
        <v>-41.77861</v>
      </c>
      <c r="AG1188" s="1">
        <v>-2.896667</v>
      </c>
      <c r="AH1188" s="1" t="s">
        <v>5025</v>
      </c>
      <c r="AI1188" s="1"/>
      <c r="AJ1188" s="1" t="s">
        <v>898</v>
      </c>
      <c r="AK1188" s="1"/>
      <c r="AL1188" s="1" t="s">
        <v>79</v>
      </c>
      <c r="AM1188" s="1" t="s">
        <v>65</v>
      </c>
      <c r="AN1188" s="1" t="s">
        <v>152</v>
      </c>
      <c r="AO1188" s="2">
        <v>44225.0</v>
      </c>
      <c r="AP1188" s="2">
        <v>44225.4961574074</v>
      </c>
      <c r="AQ1188" s="1" t="s">
        <v>80</v>
      </c>
      <c r="AR1188" s="1" t="s">
        <v>1291</v>
      </c>
      <c r="AS1188" s="1"/>
      <c r="AT1188" s="2">
        <v>44269.931099537</v>
      </c>
    </row>
    <row r="1189" ht="13.5" customHeight="1">
      <c r="A1189" s="1">
        <v>2034754.0</v>
      </c>
      <c r="B1189" s="1" t="s">
        <v>67</v>
      </c>
      <c r="C1189" s="1" t="s">
        <v>68</v>
      </c>
      <c r="D1189" s="1" t="s">
        <v>46</v>
      </c>
      <c r="E1189" s="1" t="s">
        <v>5026</v>
      </c>
      <c r="F1189" s="1"/>
      <c r="G1189" s="1" t="s">
        <v>70</v>
      </c>
      <c r="H1189" s="1" t="s">
        <v>93</v>
      </c>
      <c r="I1189" s="1">
        <v>61000.0</v>
      </c>
      <c r="J1189" s="1" t="s">
        <v>5027</v>
      </c>
      <c r="K1189" s="1"/>
      <c r="L1189" s="1" t="s">
        <v>1172</v>
      </c>
      <c r="M1189" s="1" t="s">
        <v>5028</v>
      </c>
      <c r="N1189" s="1" t="s">
        <v>142</v>
      </c>
      <c r="O1189" s="1" t="s">
        <v>143</v>
      </c>
      <c r="P1189" s="2">
        <v>43789.5756944444</v>
      </c>
      <c r="Q1189" s="1" t="s">
        <v>74</v>
      </c>
      <c r="R1189" s="1"/>
      <c r="S1189" s="1"/>
      <c r="T1189" s="1">
        <v>1505064.0</v>
      </c>
      <c r="U1189" s="1" t="s">
        <v>2897</v>
      </c>
      <c r="V1189" s="1" t="s">
        <v>193</v>
      </c>
      <c r="W1189" s="1" t="s">
        <v>177</v>
      </c>
      <c r="X1189" s="1"/>
      <c r="Y1189" s="1" t="str">
        <f>"02047001206201964"</f>
        <v>02047001206201964</v>
      </c>
      <c r="Z1189" s="1" t="s">
        <v>147</v>
      </c>
      <c r="AA1189" s="1" t="s">
        <v>5029</v>
      </c>
      <c r="AB1189" s="1" t="str">
        <f>"***489962**"</f>
        <v>***489962**</v>
      </c>
      <c r="AC1189" s="1"/>
      <c r="AD1189" s="1" t="s">
        <v>116</v>
      </c>
      <c r="AE1189" s="1"/>
      <c r="AF1189" s="1">
        <v>-50.617778</v>
      </c>
      <c r="AG1189" s="1">
        <v>-4.401111</v>
      </c>
      <c r="AH1189" s="1" t="s">
        <v>5030</v>
      </c>
      <c r="AI1189" s="1"/>
      <c r="AJ1189" s="1"/>
      <c r="AK1189" s="1" t="s">
        <v>5031</v>
      </c>
      <c r="AL1189" s="1" t="s">
        <v>79</v>
      </c>
      <c r="AM1189" s="1"/>
      <c r="AN1189" s="1"/>
      <c r="AO1189" s="2">
        <v>43889.6308912037</v>
      </c>
      <c r="AP1189" s="2">
        <v>43889.6922916667</v>
      </c>
      <c r="AQ1189" s="1" t="s">
        <v>80</v>
      </c>
      <c r="AR1189" s="1" t="s">
        <v>5032</v>
      </c>
      <c r="AS1189" s="1"/>
      <c r="AT1189" s="2">
        <v>44269.931099537</v>
      </c>
    </row>
    <row r="1190" ht="13.5" customHeight="1">
      <c r="A1190" s="1"/>
      <c r="B1190" s="1" t="s">
        <v>46</v>
      </c>
      <c r="C1190" s="1" t="s">
        <v>47</v>
      </c>
      <c r="D1190" s="1"/>
      <c r="E1190" s="1" t="s">
        <v>5033</v>
      </c>
      <c r="F1190" s="1"/>
      <c r="G1190" s="1" t="s">
        <v>5034</v>
      </c>
      <c r="H1190" s="1" t="s">
        <v>50</v>
      </c>
      <c r="I1190" s="1">
        <v>50500.0</v>
      </c>
      <c r="J1190" s="1"/>
      <c r="K1190" s="1" t="s">
        <v>51</v>
      </c>
      <c r="L1190" s="1"/>
      <c r="M1190" s="1" t="s">
        <v>5035</v>
      </c>
      <c r="N1190" s="1" t="s">
        <v>212</v>
      </c>
      <c r="O1190" s="1" t="s">
        <v>213</v>
      </c>
      <c r="P1190" s="2">
        <v>43789.5748842593</v>
      </c>
      <c r="Q1190" s="1" t="s">
        <v>74</v>
      </c>
      <c r="R1190" s="1"/>
      <c r="S1190" s="1"/>
      <c r="T1190" s="1">
        <v>5300108.0</v>
      </c>
      <c r="U1190" s="1" t="s">
        <v>1541</v>
      </c>
      <c r="V1190" s="1" t="s">
        <v>1542</v>
      </c>
      <c r="W1190" s="1" t="s">
        <v>177</v>
      </c>
      <c r="X1190" s="1"/>
      <c r="Y1190" s="1"/>
      <c r="Z1190" s="1" t="s">
        <v>215</v>
      </c>
      <c r="AA1190" s="1" t="s">
        <v>4785</v>
      </c>
      <c r="AB1190" s="1" t="str">
        <f>"04892707000100"</f>
        <v>04892707000100</v>
      </c>
      <c r="AC1190" s="1"/>
      <c r="AD1190" s="1" t="s">
        <v>149</v>
      </c>
      <c r="AE1190" s="1"/>
      <c r="AF1190" s="1">
        <v>-47.875</v>
      </c>
      <c r="AG1190" s="1">
        <v>-15.790001</v>
      </c>
      <c r="AH1190" s="1" t="s">
        <v>4941</v>
      </c>
      <c r="AI1190" s="1"/>
      <c r="AJ1190" s="1" t="s">
        <v>172</v>
      </c>
      <c r="AK1190" s="1"/>
      <c r="AL1190" s="1"/>
      <c r="AM1190" s="1" t="s">
        <v>65</v>
      </c>
      <c r="AN1190" s="1" t="s">
        <v>720</v>
      </c>
      <c r="AO1190" s="1"/>
      <c r="AP1190" s="2">
        <v>44036.7362384259</v>
      </c>
      <c r="AQ1190" s="1"/>
      <c r="AR1190" s="1" t="s">
        <v>5036</v>
      </c>
      <c r="AS1190" s="1"/>
      <c r="AT1190" s="2">
        <v>44269.931099537</v>
      </c>
    </row>
    <row r="1191" ht="13.5" customHeight="1">
      <c r="A1191" s="1">
        <v>2038978.0</v>
      </c>
      <c r="B1191" s="1" t="s">
        <v>67</v>
      </c>
      <c r="C1191" s="1" t="s">
        <v>68</v>
      </c>
      <c r="D1191" s="1" t="s">
        <v>46</v>
      </c>
      <c r="E1191" s="1" t="s">
        <v>5037</v>
      </c>
      <c r="F1191" s="1"/>
      <c r="G1191" s="1" t="s">
        <v>70</v>
      </c>
      <c r="H1191" s="1" t="s">
        <v>93</v>
      </c>
      <c r="I1191" s="1">
        <v>70000.0</v>
      </c>
      <c r="J1191" s="1"/>
      <c r="K1191" s="1"/>
      <c r="L1191" s="1" t="s">
        <v>1172</v>
      </c>
      <c r="M1191" s="1" t="s">
        <v>5038</v>
      </c>
      <c r="N1191" s="1" t="s">
        <v>142</v>
      </c>
      <c r="O1191" s="1" t="s">
        <v>143</v>
      </c>
      <c r="P1191" s="2">
        <v>43789.5</v>
      </c>
      <c r="Q1191" s="1" t="s">
        <v>74</v>
      </c>
      <c r="R1191" s="3">
        <v>43803.0</v>
      </c>
      <c r="S1191" s="1"/>
      <c r="T1191" s="1">
        <v>1505064.0</v>
      </c>
      <c r="U1191" s="1" t="s">
        <v>2897</v>
      </c>
      <c r="V1191" s="1" t="s">
        <v>193</v>
      </c>
      <c r="W1191" s="1" t="s">
        <v>177</v>
      </c>
      <c r="X1191" s="1"/>
      <c r="Y1191" s="1"/>
      <c r="Z1191" s="1" t="s">
        <v>147</v>
      </c>
      <c r="AA1191" s="1" t="s">
        <v>2898</v>
      </c>
      <c r="AB1191" s="1" t="str">
        <f>"***103281**"</f>
        <v>***103281**</v>
      </c>
      <c r="AC1191" s="1"/>
      <c r="AD1191" s="1"/>
      <c r="AE1191" s="1"/>
      <c r="AF1191" s="1">
        <v>-50.590279</v>
      </c>
      <c r="AG1191" s="1">
        <v>-4.955277</v>
      </c>
      <c r="AH1191" s="1" t="s">
        <v>4980</v>
      </c>
      <c r="AI1191" s="1"/>
      <c r="AJ1191" s="1" t="s">
        <v>1172</v>
      </c>
      <c r="AK1191" s="1"/>
      <c r="AL1191" s="1" t="s">
        <v>79</v>
      </c>
      <c r="AM1191" s="1" t="s">
        <v>65</v>
      </c>
      <c r="AN1191" s="1" t="s">
        <v>3087</v>
      </c>
      <c r="AO1191" s="2">
        <v>44050.0</v>
      </c>
      <c r="AP1191" s="2">
        <v>44050.4659837963</v>
      </c>
      <c r="AQ1191" s="1" t="s">
        <v>80</v>
      </c>
      <c r="AR1191" s="1" t="s">
        <v>392</v>
      </c>
      <c r="AS1191" s="1"/>
      <c r="AT1191" s="2">
        <v>44269.931099537</v>
      </c>
    </row>
    <row r="1192" ht="13.5" customHeight="1">
      <c r="A1192" s="1">
        <v>2043879.0</v>
      </c>
      <c r="B1192" s="1" t="s">
        <v>67</v>
      </c>
      <c r="C1192" s="1" t="s">
        <v>68</v>
      </c>
      <c r="D1192" s="1" t="s">
        <v>46</v>
      </c>
      <c r="E1192" s="1" t="s">
        <v>5039</v>
      </c>
      <c r="F1192" s="1"/>
      <c r="G1192" s="1" t="s">
        <v>70</v>
      </c>
      <c r="H1192" s="1" t="s">
        <v>93</v>
      </c>
      <c r="I1192" s="1">
        <v>7000.0</v>
      </c>
      <c r="J1192" s="1"/>
      <c r="K1192" s="1"/>
      <c r="L1192" s="1" t="s">
        <v>386</v>
      </c>
      <c r="M1192" s="1" t="s">
        <v>5040</v>
      </c>
      <c r="N1192" s="1" t="s">
        <v>142</v>
      </c>
      <c r="O1192" s="1" t="s">
        <v>143</v>
      </c>
      <c r="P1192" s="2">
        <v>43789.5</v>
      </c>
      <c r="Q1192" s="1" t="s">
        <v>373</v>
      </c>
      <c r="R1192" s="3">
        <v>43789.0</v>
      </c>
      <c r="S1192" s="1"/>
      <c r="T1192" s="1">
        <v>1718840.0</v>
      </c>
      <c r="U1192" s="1" t="s">
        <v>4808</v>
      </c>
      <c r="V1192" s="1" t="s">
        <v>2156</v>
      </c>
      <c r="W1192" s="1" t="s">
        <v>127</v>
      </c>
      <c r="X1192" s="1"/>
      <c r="Y1192" s="1" t="str">
        <f>"02029001456201912"</f>
        <v>02029001456201912</v>
      </c>
      <c r="Z1192" s="1" t="s">
        <v>147</v>
      </c>
      <c r="AA1192" s="1" t="s">
        <v>5041</v>
      </c>
      <c r="AB1192" s="1" t="str">
        <f>"***849041**"</f>
        <v>***849041**</v>
      </c>
      <c r="AC1192" s="1"/>
      <c r="AD1192" s="1" t="s">
        <v>116</v>
      </c>
      <c r="AE1192" s="1"/>
      <c r="AF1192" s="1">
        <v>-49.998611</v>
      </c>
      <c r="AG1192" s="1">
        <v>-12.063889</v>
      </c>
      <c r="AH1192" s="1" t="s">
        <v>5042</v>
      </c>
      <c r="AI1192" s="1"/>
      <c r="AJ1192" s="1" t="s">
        <v>386</v>
      </c>
      <c r="AK1192" s="1" t="s">
        <v>5043</v>
      </c>
      <c r="AL1192" s="1" t="s">
        <v>79</v>
      </c>
      <c r="AM1192" s="1" t="s">
        <v>65</v>
      </c>
      <c r="AN1192" s="1" t="s">
        <v>4237</v>
      </c>
      <c r="AO1192" s="2">
        <v>44257.0</v>
      </c>
      <c r="AP1192" s="2">
        <v>44257.468912037</v>
      </c>
      <c r="AQ1192" s="1" t="s">
        <v>80</v>
      </c>
      <c r="AR1192" s="1" t="s">
        <v>5044</v>
      </c>
      <c r="AS1192" s="1"/>
      <c r="AT1192" s="2">
        <v>44269.931099537</v>
      </c>
    </row>
    <row r="1193" ht="13.5" customHeight="1">
      <c r="A1193" s="1"/>
      <c r="B1193" s="1" t="s">
        <v>46</v>
      </c>
      <c r="C1193" s="1" t="s">
        <v>47</v>
      </c>
      <c r="D1193" s="1"/>
      <c r="E1193" s="1" t="s">
        <v>5045</v>
      </c>
      <c r="F1193" s="1"/>
      <c r="G1193" s="1" t="s">
        <v>49</v>
      </c>
      <c r="H1193" s="1" t="s">
        <v>93</v>
      </c>
      <c r="I1193" s="1">
        <v>9990.33</v>
      </c>
      <c r="J1193" s="1"/>
      <c r="K1193" s="1"/>
      <c r="L1193" s="1"/>
      <c r="M1193" s="1" t="s">
        <v>5046</v>
      </c>
      <c r="N1193" s="1" t="s">
        <v>142</v>
      </c>
      <c r="O1193" s="1" t="s">
        <v>143</v>
      </c>
      <c r="P1193" s="2">
        <v>43789.4912152778</v>
      </c>
      <c r="Q1193" s="1" t="s">
        <v>373</v>
      </c>
      <c r="R1193" s="1"/>
      <c r="S1193" s="1"/>
      <c r="T1193" s="1">
        <v>1501402.0</v>
      </c>
      <c r="U1193" s="1" t="s">
        <v>192</v>
      </c>
      <c r="V1193" s="1" t="s">
        <v>193</v>
      </c>
      <c r="W1193" s="1" t="s">
        <v>177</v>
      </c>
      <c r="X1193" s="1"/>
      <c r="Y1193" s="1"/>
      <c r="Z1193" s="1" t="s">
        <v>147</v>
      </c>
      <c r="AA1193" s="1" t="s">
        <v>5047</v>
      </c>
      <c r="AB1193" s="1" t="str">
        <f>"21578495000100"</f>
        <v>21578495000100</v>
      </c>
      <c r="AC1193" s="1"/>
      <c r="AD1193" s="1" t="s">
        <v>62</v>
      </c>
      <c r="AE1193" s="1"/>
      <c r="AF1193" s="1">
        <v>-48.449169</v>
      </c>
      <c r="AG1193" s="1">
        <v>-1.286667</v>
      </c>
      <c r="AH1193" s="1" t="s">
        <v>5048</v>
      </c>
      <c r="AI1193" s="1"/>
      <c r="AJ1193" s="1" t="s">
        <v>196</v>
      </c>
      <c r="AK1193" s="1"/>
      <c r="AL1193" s="1"/>
      <c r="AM1193" s="1" t="s">
        <v>65</v>
      </c>
      <c r="AN1193" s="1" t="s">
        <v>197</v>
      </c>
      <c r="AO1193" s="1"/>
      <c r="AP1193" s="2">
        <v>43789.5175694444</v>
      </c>
      <c r="AQ1193" s="1"/>
      <c r="AR1193" s="1" t="s">
        <v>280</v>
      </c>
      <c r="AS1193" s="1"/>
      <c r="AT1193" s="2">
        <v>44269.931099537</v>
      </c>
    </row>
    <row r="1194" ht="13.5" customHeight="1">
      <c r="A1194" s="1">
        <v>2034687.0</v>
      </c>
      <c r="B1194" s="1" t="s">
        <v>67</v>
      </c>
      <c r="C1194" s="1" t="s">
        <v>68</v>
      </c>
      <c r="D1194" s="1" t="s">
        <v>46</v>
      </c>
      <c r="E1194" s="1" t="s">
        <v>5049</v>
      </c>
      <c r="F1194" s="1"/>
      <c r="G1194" s="1" t="s">
        <v>70</v>
      </c>
      <c r="H1194" s="1" t="s">
        <v>93</v>
      </c>
      <c r="I1194" s="1">
        <v>120000.0</v>
      </c>
      <c r="J1194" s="1" t="s">
        <v>5027</v>
      </c>
      <c r="K1194" s="1"/>
      <c r="L1194" s="1" t="s">
        <v>1172</v>
      </c>
      <c r="M1194" s="1" t="s">
        <v>5050</v>
      </c>
      <c r="N1194" s="1" t="s">
        <v>142</v>
      </c>
      <c r="O1194" s="1" t="s">
        <v>143</v>
      </c>
      <c r="P1194" s="2">
        <v>43789.4909722222</v>
      </c>
      <c r="Q1194" s="1" t="s">
        <v>74</v>
      </c>
      <c r="R1194" s="1"/>
      <c r="S1194" s="1"/>
      <c r="T1194" s="1">
        <v>1505064.0</v>
      </c>
      <c r="U1194" s="1" t="s">
        <v>2897</v>
      </c>
      <c r="V1194" s="1" t="s">
        <v>193</v>
      </c>
      <c r="W1194" s="1" t="s">
        <v>177</v>
      </c>
      <c r="X1194" s="1"/>
      <c r="Y1194" s="1" t="str">
        <f>"02047001207201917"</f>
        <v>02047001207201917</v>
      </c>
      <c r="Z1194" s="1" t="s">
        <v>147</v>
      </c>
      <c r="AA1194" s="1" t="s">
        <v>5029</v>
      </c>
      <c r="AB1194" s="1" t="str">
        <f>"***489962**"</f>
        <v>***489962**</v>
      </c>
      <c r="AC1194" s="1"/>
      <c r="AD1194" s="1" t="s">
        <v>116</v>
      </c>
      <c r="AE1194" s="1"/>
      <c r="AF1194" s="1">
        <v>-50.617778</v>
      </c>
      <c r="AG1194" s="1">
        <v>-4.351111</v>
      </c>
      <c r="AH1194" s="1" t="s">
        <v>5051</v>
      </c>
      <c r="AI1194" s="1"/>
      <c r="AJ1194" s="1"/>
      <c r="AK1194" s="1"/>
      <c r="AL1194" s="1" t="s">
        <v>118</v>
      </c>
      <c r="AM1194" s="1"/>
      <c r="AN1194" s="1"/>
      <c r="AO1194" s="2">
        <v>43889.5536805556</v>
      </c>
      <c r="AP1194" s="2">
        <v>43889.6081712963</v>
      </c>
      <c r="AQ1194" s="1" t="s">
        <v>80</v>
      </c>
      <c r="AR1194" s="1" t="s">
        <v>5052</v>
      </c>
      <c r="AS1194" s="1"/>
      <c r="AT1194" s="2">
        <v>44269.931099537</v>
      </c>
    </row>
    <row r="1195" ht="13.5" customHeight="1">
      <c r="A1195" s="1"/>
      <c r="B1195" s="1" t="s">
        <v>46</v>
      </c>
      <c r="C1195" s="1" t="s">
        <v>47</v>
      </c>
      <c r="D1195" s="1"/>
      <c r="E1195" s="1" t="s">
        <v>5053</v>
      </c>
      <c r="F1195" s="1"/>
      <c r="G1195" s="1"/>
      <c r="H1195" s="1" t="s">
        <v>50</v>
      </c>
      <c r="I1195" s="1">
        <v>11500.0</v>
      </c>
      <c r="J1195" s="1"/>
      <c r="K1195" s="1" t="s">
        <v>140</v>
      </c>
      <c r="L1195" s="1"/>
      <c r="M1195" s="1" t="s">
        <v>5054</v>
      </c>
      <c r="N1195" s="1" t="s">
        <v>123</v>
      </c>
      <c r="O1195" s="1" t="s">
        <v>73</v>
      </c>
      <c r="P1195" s="2">
        <v>43789.4677662037</v>
      </c>
      <c r="Q1195" s="1" t="s">
        <v>74</v>
      </c>
      <c r="R1195" s="1"/>
      <c r="S1195" s="1"/>
      <c r="T1195" s="1">
        <v>4108304.0</v>
      </c>
      <c r="U1195" s="1" t="s">
        <v>5055</v>
      </c>
      <c r="V1195" s="1" t="s">
        <v>176</v>
      </c>
      <c r="W1195" s="1" t="s">
        <v>59</v>
      </c>
      <c r="X1195" s="1"/>
      <c r="Y1195" s="1"/>
      <c r="Z1195" s="1" t="s">
        <v>76</v>
      </c>
      <c r="AA1195" s="1" t="s">
        <v>5056</v>
      </c>
      <c r="AB1195" s="1" t="str">
        <f>"***445369**"</f>
        <v>***445369**</v>
      </c>
      <c r="AC1195" s="1"/>
      <c r="AD1195" s="1" t="s">
        <v>62</v>
      </c>
      <c r="AE1195" s="1"/>
      <c r="AF1195" s="1">
        <v>-54.585831</v>
      </c>
      <c r="AG1195" s="1">
        <v>-25.066111</v>
      </c>
      <c r="AH1195" s="1" t="s">
        <v>5057</v>
      </c>
      <c r="AI1195" s="1"/>
      <c r="AJ1195" s="1" t="s">
        <v>358</v>
      </c>
      <c r="AK1195" s="1"/>
      <c r="AL1195" s="1"/>
      <c r="AM1195" s="1" t="s">
        <v>65</v>
      </c>
      <c r="AN1195" s="1" t="s">
        <v>1950</v>
      </c>
      <c r="AO1195" s="1"/>
      <c r="AP1195" s="2">
        <v>43789.4762847222</v>
      </c>
      <c r="AQ1195" s="1"/>
      <c r="AR1195" s="1" t="s">
        <v>153</v>
      </c>
      <c r="AS1195" s="1" t="s">
        <v>5058</v>
      </c>
      <c r="AT1195" s="2">
        <v>44269.931099537</v>
      </c>
    </row>
    <row r="1196" ht="13.5" customHeight="1">
      <c r="A1196" s="1">
        <v>2038876.0</v>
      </c>
      <c r="B1196" s="1" t="s">
        <v>67</v>
      </c>
      <c r="C1196" s="1" t="s">
        <v>68</v>
      </c>
      <c r="D1196" s="1" t="s">
        <v>46</v>
      </c>
      <c r="E1196" s="1" t="s">
        <v>5059</v>
      </c>
      <c r="F1196" s="1"/>
      <c r="G1196" s="1" t="s">
        <v>70</v>
      </c>
      <c r="H1196" s="1" t="s">
        <v>93</v>
      </c>
      <c r="I1196" s="1">
        <v>575000.0</v>
      </c>
      <c r="J1196" s="1"/>
      <c r="K1196" s="1"/>
      <c r="L1196" s="1" t="s">
        <v>1172</v>
      </c>
      <c r="M1196" s="1" t="s">
        <v>5060</v>
      </c>
      <c r="N1196" s="1" t="s">
        <v>142</v>
      </c>
      <c r="O1196" s="1" t="s">
        <v>143</v>
      </c>
      <c r="P1196" s="2">
        <v>43789.4583333333</v>
      </c>
      <c r="Q1196" s="1" t="s">
        <v>74</v>
      </c>
      <c r="R1196" s="1"/>
      <c r="S1196" s="1"/>
      <c r="T1196" s="1">
        <v>1505486.0</v>
      </c>
      <c r="U1196" s="1" t="s">
        <v>3446</v>
      </c>
      <c r="V1196" s="1" t="s">
        <v>193</v>
      </c>
      <c r="W1196" s="1" t="s">
        <v>177</v>
      </c>
      <c r="X1196" s="1"/>
      <c r="Y1196" s="1" t="str">
        <f>"02047001211201977"</f>
        <v>02047001211201977</v>
      </c>
      <c r="Z1196" s="1" t="s">
        <v>147</v>
      </c>
      <c r="AA1196" s="1" t="s">
        <v>4997</v>
      </c>
      <c r="AB1196" s="1" t="str">
        <f>"***321972**"</f>
        <v>***321972**</v>
      </c>
      <c r="AC1196" s="1"/>
      <c r="AD1196" s="1" t="s">
        <v>116</v>
      </c>
      <c r="AE1196" s="1"/>
      <c r="AF1196" s="1">
        <v>-50.439722</v>
      </c>
      <c r="AG1196" s="1">
        <v>-4.356111</v>
      </c>
      <c r="AH1196" s="1" t="s">
        <v>5061</v>
      </c>
      <c r="AI1196" s="1"/>
      <c r="AJ1196" s="1" t="s">
        <v>1172</v>
      </c>
      <c r="AK1196" s="1" t="s">
        <v>4040</v>
      </c>
      <c r="AL1196" s="1" t="s">
        <v>79</v>
      </c>
      <c r="AM1196" s="1" t="s">
        <v>65</v>
      </c>
      <c r="AN1196" s="1" t="s">
        <v>3087</v>
      </c>
      <c r="AO1196" s="2">
        <v>44047.0</v>
      </c>
      <c r="AP1196" s="2">
        <v>44120.6955092593</v>
      </c>
      <c r="AQ1196" s="1" t="s">
        <v>80</v>
      </c>
      <c r="AR1196" s="1" t="s">
        <v>5062</v>
      </c>
      <c r="AS1196" s="1"/>
      <c r="AT1196" s="2">
        <v>44269.931099537</v>
      </c>
    </row>
    <row r="1197" ht="13.5" customHeight="1">
      <c r="A1197" s="1">
        <v>2038979.0</v>
      </c>
      <c r="B1197" s="1" t="s">
        <v>67</v>
      </c>
      <c r="C1197" s="1" t="s">
        <v>68</v>
      </c>
      <c r="D1197" s="1" t="s">
        <v>46</v>
      </c>
      <c r="E1197" s="1" t="s">
        <v>5063</v>
      </c>
      <c r="F1197" s="1"/>
      <c r="G1197" s="1" t="s">
        <v>70</v>
      </c>
      <c r="H1197" s="1" t="s">
        <v>93</v>
      </c>
      <c r="I1197" s="1">
        <v>120000.0</v>
      </c>
      <c r="J1197" s="1"/>
      <c r="K1197" s="1"/>
      <c r="L1197" s="1" t="s">
        <v>1172</v>
      </c>
      <c r="M1197" s="1" t="s">
        <v>5064</v>
      </c>
      <c r="N1197" s="1" t="s">
        <v>142</v>
      </c>
      <c r="O1197" s="1" t="s">
        <v>143</v>
      </c>
      <c r="P1197" s="2">
        <v>43789.4583333333</v>
      </c>
      <c r="Q1197" s="1" t="s">
        <v>74</v>
      </c>
      <c r="R1197" s="3">
        <v>43803.0</v>
      </c>
      <c r="S1197" s="1"/>
      <c r="T1197" s="1">
        <v>1505064.0</v>
      </c>
      <c r="U1197" s="1" t="s">
        <v>2897</v>
      </c>
      <c r="V1197" s="1" t="s">
        <v>193</v>
      </c>
      <c r="W1197" s="1" t="s">
        <v>177</v>
      </c>
      <c r="X1197" s="1"/>
      <c r="Y1197" s="1"/>
      <c r="Z1197" s="1" t="s">
        <v>147</v>
      </c>
      <c r="AA1197" s="1" t="s">
        <v>2898</v>
      </c>
      <c r="AB1197" s="1" t="str">
        <f>"***103281**"</f>
        <v>***103281**</v>
      </c>
      <c r="AC1197" s="1"/>
      <c r="AD1197" s="1"/>
      <c r="AE1197" s="1"/>
      <c r="AF1197" s="1">
        <v>-50.590279</v>
      </c>
      <c r="AG1197" s="1">
        <v>-4.955277</v>
      </c>
      <c r="AH1197" s="1" t="s">
        <v>5065</v>
      </c>
      <c r="AI1197" s="1"/>
      <c r="AJ1197" s="1" t="s">
        <v>1172</v>
      </c>
      <c r="AK1197" s="1"/>
      <c r="AL1197" s="1" t="s">
        <v>79</v>
      </c>
      <c r="AM1197" s="1" t="s">
        <v>65</v>
      </c>
      <c r="AN1197" s="1" t="s">
        <v>3087</v>
      </c>
      <c r="AO1197" s="2">
        <v>44050.0</v>
      </c>
      <c r="AP1197" s="2">
        <v>44050.4661805556</v>
      </c>
      <c r="AQ1197" s="1" t="s">
        <v>80</v>
      </c>
      <c r="AR1197" s="1" t="s">
        <v>1607</v>
      </c>
      <c r="AS1197" s="1"/>
      <c r="AT1197" s="2">
        <v>44269.931099537</v>
      </c>
    </row>
    <row r="1198" ht="13.5" customHeight="1">
      <c r="A1198" s="1"/>
      <c r="B1198" s="1" t="s">
        <v>46</v>
      </c>
      <c r="C1198" s="1" t="s">
        <v>47</v>
      </c>
      <c r="D1198" s="1"/>
      <c r="E1198" s="1" t="s">
        <v>5066</v>
      </c>
      <c r="F1198" s="1"/>
      <c r="G1198" s="1"/>
      <c r="H1198" s="1" t="s">
        <v>93</v>
      </c>
      <c r="I1198" s="1">
        <v>2406.6</v>
      </c>
      <c r="J1198" s="1"/>
      <c r="K1198" s="1"/>
      <c r="L1198" s="1"/>
      <c r="M1198" s="1" t="s">
        <v>5067</v>
      </c>
      <c r="N1198" s="1" t="s">
        <v>142</v>
      </c>
      <c r="O1198" s="1" t="s">
        <v>143</v>
      </c>
      <c r="P1198" s="2">
        <v>43789.4384490741</v>
      </c>
      <c r="Q1198" s="1" t="s">
        <v>74</v>
      </c>
      <c r="R1198" s="3">
        <v>43789.0</v>
      </c>
      <c r="S1198" s="1"/>
      <c r="T1198" s="1">
        <v>2202703.0</v>
      </c>
      <c r="U1198" s="1" t="s">
        <v>5068</v>
      </c>
      <c r="V1198" s="1" t="s">
        <v>895</v>
      </c>
      <c r="W1198" s="1" t="s">
        <v>113</v>
      </c>
      <c r="X1198" s="1"/>
      <c r="Y1198" s="1"/>
      <c r="Z1198" s="1" t="s">
        <v>147</v>
      </c>
      <c r="AA1198" s="1" t="s">
        <v>5069</v>
      </c>
      <c r="AB1198" s="1" t="str">
        <f>"28259469000169"</f>
        <v>28259469000169</v>
      </c>
      <c r="AC1198" s="1"/>
      <c r="AD1198" s="1" t="s">
        <v>149</v>
      </c>
      <c r="AE1198" s="1"/>
      <c r="AF1198" s="1">
        <v>-41.77861</v>
      </c>
      <c r="AG1198" s="1">
        <v>-2.896667</v>
      </c>
      <c r="AH1198" s="1" t="s">
        <v>5070</v>
      </c>
      <c r="AI1198" s="1"/>
      <c r="AJ1198" s="1" t="s">
        <v>898</v>
      </c>
      <c r="AK1198" s="1"/>
      <c r="AL1198" s="1"/>
      <c r="AM1198" s="1" t="s">
        <v>65</v>
      </c>
      <c r="AN1198" s="1" t="s">
        <v>152</v>
      </c>
      <c r="AO1198" s="1"/>
      <c r="AP1198" s="2">
        <v>43789.4517592593</v>
      </c>
      <c r="AQ1198" s="1"/>
      <c r="AR1198" s="1" t="s">
        <v>613</v>
      </c>
      <c r="AS1198" s="1"/>
      <c r="AT1198" s="2">
        <v>44269.931099537</v>
      </c>
    </row>
    <row r="1199" ht="13.5" customHeight="1">
      <c r="A1199" s="1">
        <v>2034760.0</v>
      </c>
      <c r="B1199" s="1" t="s">
        <v>67</v>
      </c>
      <c r="C1199" s="1" t="s">
        <v>68</v>
      </c>
      <c r="D1199" s="1" t="s">
        <v>46</v>
      </c>
      <c r="E1199" s="1" t="s">
        <v>5071</v>
      </c>
      <c r="F1199" s="1"/>
      <c r="G1199" s="1" t="s">
        <v>70</v>
      </c>
      <c r="H1199" s="1" t="s">
        <v>93</v>
      </c>
      <c r="I1199" s="1">
        <v>120000.0</v>
      </c>
      <c r="J1199" s="1" t="s">
        <v>5072</v>
      </c>
      <c r="K1199" s="1"/>
      <c r="L1199" s="1" t="s">
        <v>1172</v>
      </c>
      <c r="M1199" s="1" t="s">
        <v>5073</v>
      </c>
      <c r="N1199" s="1" t="s">
        <v>142</v>
      </c>
      <c r="O1199" s="1" t="s">
        <v>143</v>
      </c>
      <c r="P1199" s="2">
        <v>43789.4270833333</v>
      </c>
      <c r="Q1199" s="1" t="s">
        <v>74</v>
      </c>
      <c r="R1199" s="1"/>
      <c r="S1199" s="1"/>
      <c r="T1199" s="1">
        <v>1505064.0</v>
      </c>
      <c r="U1199" s="1" t="s">
        <v>2897</v>
      </c>
      <c r="V1199" s="1" t="s">
        <v>193</v>
      </c>
      <c r="W1199" s="1" t="s">
        <v>177</v>
      </c>
      <c r="X1199" s="1"/>
      <c r="Y1199" s="1" t="str">
        <f>"02047001205201910"</f>
        <v>02047001205201910</v>
      </c>
      <c r="Z1199" s="1" t="s">
        <v>147</v>
      </c>
      <c r="AA1199" s="1" t="s">
        <v>5029</v>
      </c>
      <c r="AB1199" s="1" t="str">
        <f>"***489962**"</f>
        <v>***489962**</v>
      </c>
      <c r="AC1199" s="1"/>
      <c r="AD1199" s="1" t="s">
        <v>116</v>
      </c>
      <c r="AE1199" s="1"/>
      <c r="AF1199" s="1">
        <v>-50.617778</v>
      </c>
      <c r="AG1199" s="1">
        <v>-4.351111</v>
      </c>
      <c r="AH1199" s="1" t="s">
        <v>5030</v>
      </c>
      <c r="AI1199" s="1"/>
      <c r="AJ1199" s="1"/>
      <c r="AK1199" s="1" t="s">
        <v>5074</v>
      </c>
      <c r="AL1199" s="1" t="s">
        <v>79</v>
      </c>
      <c r="AM1199" s="1"/>
      <c r="AN1199" s="1"/>
      <c r="AO1199" s="2">
        <v>43889.6434259259</v>
      </c>
      <c r="AP1199" s="2">
        <v>43889.6434259259</v>
      </c>
      <c r="AQ1199" s="1" t="s">
        <v>80</v>
      </c>
      <c r="AR1199" s="1" t="s">
        <v>5075</v>
      </c>
      <c r="AS1199" s="1"/>
      <c r="AT1199" s="2">
        <v>44269.931099537</v>
      </c>
    </row>
    <row r="1200" ht="13.5" customHeight="1">
      <c r="A1200" s="1">
        <v>2038261.0</v>
      </c>
      <c r="B1200" s="1" t="s">
        <v>67</v>
      </c>
      <c r="C1200" s="1" t="s">
        <v>68</v>
      </c>
      <c r="D1200" s="1" t="s">
        <v>46</v>
      </c>
      <c r="E1200" s="1" t="s">
        <v>5076</v>
      </c>
      <c r="F1200" s="1"/>
      <c r="G1200" s="1" t="s">
        <v>70</v>
      </c>
      <c r="H1200" s="1" t="s">
        <v>93</v>
      </c>
      <c r="I1200" s="1">
        <v>1845000.0</v>
      </c>
      <c r="J1200" s="1"/>
      <c r="K1200" s="1"/>
      <c r="L1200" s="1" t="s">
        <v>172</v>
      </c>
      <c r="M1200" s="1" t="s">
        <v>5077</v>
      </c>
      <c r="N1200" s="1" t="s">
        <v>142</v>
      </c>
      <c r="O1200" s="1" t="s">
        <v>143</v>
      </c>
      <c r="P1200" s="2">
        <v>43789.2916666667</v>
      </c>
      <c r="Q1200" s="1" t="s">
        <v>373</v>
      </c>
      <c r="R1200" s="3">
        <v>43914.0</v>
      </c>
      <c r="S1200" s="1"/>
      <c r="T1200" s="1">
        <v>5101407.0</v>
      </c>
      <c r="U1200" s="1" t="s">
        <v>1157</v>
      </c>
      <c r="V1200" s="1" t="s">
        <v>164</v>
      </c>
      <c r="W1200" s="1" t="s">
        <v>177</v>
      </c>
      <c r="X1200" s="1"/>
      <c r="Y1200" s="1" t="str">
        <f>"02001035902201909"</f>
        <v>02001035902201909</v>
      </c>
      <c r="Z1200" s="1" t="s">
        <v>147</v>
      </c>
      <c r="AA1200" s="1" t="s">
        <v>5078</v>
      </c>
      <c r="AB1200" s="1" t="str">
        <f>"***640981**"</f>
        <v>***640981**</v>
      </c>
      <c r="AC1200" s="1"/>
      <c r="AD1200" s="1"/>
      <c r="AE1200" s="1"/>
      <c r="AF1200" s="1">
        <v>-58.941669</v>
      </c>
      <c r="AG1200" s="1">
        <v>-1.400833</v>
      </c>
      <c r="AH1200" s="1" t="s">
        <v>5079</v>
      </c>
      <c r="AI1200" s="1"/>
      <c r="AJ1200" s="1" t="s">
        <v>172</v>
      </c>
      <c r="AK1200" s="1"/>
      <c r="AL1200" s="1" t="s">
        <v>79</v>
      </c>
      <c r="AM1200" s="1" t="s">
        <v>65</v>
      </c>
      <c r="AN1200" s="1" t="s">
        <v>1395</v>
      </c>
      <c r="AO1200" s="2">
        <v>44028.0</v>
      </c>
      <c r="AP1200" s="2">
        <v>44028.4592476852</v>
      </c>
      <c r="AQ1200" s="1" t="s">
        <v>80</v>
      </c>
      <c r="AR1200" s="1" t="s">
        <v>421</v>
      </c>
      <c r="AS1200" s="1" t="s">
        <v>5080</v>
      </c>
      <c r="AT1200" s="2">
        <v>44269.931099537</v>
      </c>
    </row>
    <row r="1201" ht="13.5" customHeight="1">
      <c r="A1201" s="1"/>
      <c r="B1201" s="1" t="s">
        <v>46</v>
      </c>
      <c r="C1201" s="1" t="s">
        <v>47</v>
      </c>
      <c r="D1201" s="1"/>
      <c r="E1201" s="1" t="s">
        <v>5081</v>
      </c>
      <c r="F1201" s="1"/>
      <c r="G1201" s="1"/>
      <c r="H1201" s="1" t="s">
        <v>93</v>
      </c>
      <c r="I1201" s="1">
        <v>2130.0</v>
      </c>
      <c r="J1201" s="1"/>
      <c r="K1201" s="1" t="s">
        <v>140</v>
      </c>
      <c r="L1201" s="1"/>
      <c r="M1201" s="1" t="s">
        <v>5082</v>
      </c>
      <c r="N1201" s="1" t="s">
        <v>72</v>
      </c>
      <c r="O1201" s="1" t="s">
        <v>1364</v>
      </c>
      <c r="P1201" s="2">
        <v>43789.2450925926</v>
      </c>
      <c r="Q1201" s="1" t="s">
        <v>373</v>
      </c>
      <c r="R1201" s="1"/>
      <c r="S1201" s="1"/>
      <c r="T1201" s="1">
        <v>5105507.0</v>
      </c>
      <c r="U1201" s="1" t="s">
        <v>3191</v>
      </c>
      <c r="V1201" s="1" t="s">
        <v>164</v>
      </c>
      <c r="W1201" s="1" t="s">
        <v>177</v>
      </c>
      <c r="X1201" s="1"/>
      <c r="Y1201" s="1"/>
      <c r="Z1201" s="1"/>
      <c r="AA1201" s="1" t="s">
        <v>5083</v>
      </c>
      <c r="AB1201" s="1" t="str">
        <f>"***473032**"</f>
        <v>***473032**</v>
      </c>
      <c r="AC1201" s="1"/>
      <c r="AD1201" s="1" t="s">
        <v>149</v>
      </c>
      <c r="AE1201" s="1"/>
      <c r="AF1201" s="1">
        <v>-59.503334</v>
      </c>
      <c r="AG1201" s="1">
        <v>-14.965278</v>
      </c>
      <c r="AH1201" s="1" t="s">
        <v>5084</v>
      </c>
      <c r="AI1201" s="1"/>
      <c r="AJ1201" s="1" t="s">
        <v>167</v>
      </c>
      <c r="AK1201" s="1"/>
      <c r="AL1201" s="1"/>
      <c r="AM1201" s="1" t="s">
        <v>65</v>
      </c>
      <c r="AN1201" s="1" t="s">
        <v>3194</v>
      </c>
      <c r="AO1201" s="1"/>
      <c r="AP1201" s="2">
        <v>43789.2577314815</v>
      </c>
      <c r="AQ1201" s="1"/>
      <c r="AR1201" s="1" t="s">
        <v>218</v>
      </c>
      <c r="AS1201" s="1"/>
      <c r="AT1201" s="2">
        <v>44269.931099537</v>
      </c>
    </row>
    <row r="1202" ht="13.5" customHeight="1">
      <c r="A1202" s="1">
        <v>2036889.0</v>
      </c>
      <c r="B1202" s="1" t="s">
        <v>67</v>
      </c>
      <c r="C1202" s="1" t="s">
        <v>68</v>
      </c>
      <c r="D1202" s="1" t="s">
        <v>46</v>
      </c>
      <c r="E1202" s="1" t="s">
        <v>5085</v>
      </c>
      <c r="F1202" s="1"/>
      <c r="G1202" s="1" t="s">
        <v>70</v>
      </c>
      <c r="H1202" s="1" t="s">
        <v>50</v>
      </c>
      <c r="I1202" s="1">
        <v>2130.0</v>
      </c>
      <c r="J1202" s="1"/>
      <c r="K1202" s="1"/>
      <c r="L1202" s="1" t="s">
        <v>167</v>
      </c>
      <c r="M1202" s="1" t="s">
        <v>5086</v>
      </c>
      <c r="N1202" s="1" t="s">
        <v>283</v>
      </c>
      <c r="O1202" s="1" t="s">
        <v>1364</v>
      </c>
      <c r="P1202" s="2">
        <v>43789.2083333333</v>
      </c>
      <c r="Q1202" s="1" t="s">
        <v>373</v>
      </c>
      <c r="R1202" s="3">
        <v>43789.0</v>
      </c>
      <c r="S1202" s="1"/>
      <c r="T1202" s="1">
        <v>5105507.0</v>
      </c>
      <c r="U1202" s="1" t="s">
        <v>3191</v>
      </c>
      <c r="V1202" s="1" t="s">
        <v>164</v>
      </c>
      <c r="W1202" s="1" t="s">
        <v>177</v>
      </c>
      <c r="X1202" s="1"/>
      <c r="Y1202" s="1" t="str">
        <f>"02013000367202061"</f>
        <v>02013000367202061</v>
      </c>
      <c r="Z1202" s="1" t="s">
        <v>128</v>
      </c>
      <c r="AA1202" s="1" t="s">
        <v>5087</v>
      </c>
      <c r="AB1202" s="1" t="str">
        <f>"***423781**"</f>
        <v>***423781**</v>
      </c>
      <c r="AC1202" s="1"/>
      <c r="AD1202" s="1"/>
      <c r="AE1202" s="1"/>
      <c r="AF1202" s="1">
        <v>-59.503334</v>
      </c>
      <c r="AG1202" s="1">
        <v>-14.965278</v>
      </c>
      <c r="AH1202" s="1" t="s">
        <v>5088</v>
      </c>
      <c r="AI1202" s="1"/>
      <c r="AJ1202" s="1" t="s">
        <v>167</v>
      </c>
      <c r="AK1202" s="1"/>
      <c r="AL1202" s="1" t="s">
        <v>79</v>
      </c>
      <c r="AM1202" s="1" t="s">
        <v>65</v>
      </c>
      <c r="AN1202" s="1" t="s">
        <v>3194</v>
      </c>
      <c r="AO1202" s="2">
        <v>43976.0</v>
      </c>
      <c r="AP1202" s="2">
        <v>43976.7755092593</v>
      </c>
      <c r="AQ1202" s="1" t="s">
        <v>80</v>
      </c>
      <c r="AR1202" s="1" t="s">
        <v>5089</v>
      </c>
      <c r="AS1202" s="1"/>
      <c r="AT1202" s="2">
        <v>44269.931099537</v>
      </c>
    </row>
    <row r="1203" ht="13.5" customHeight="1">
      <c r="A1203" s="1">
        <v>2036887.0</v>
      </c>
      <c r="B1203" s="1" t="s">
        <v>67</v>
      </c>
      <c r="C1203" s="1" t="s">
        <v>68</v>
      </c>
      <c r="D1203" s="1" t="s">
        <v>46</v>
      </c>
      <c r="E1203" s="1" t="s">
        <v>5090</v>
      </c>
      <c r="F1203" s="1"/>
      <c r="G1203" s="1" t="s">
        <v>70</v>
      </c>
      <c r="H1203" s="1" t="s">
        <v>50</v>
      </c>
      <c r="I1203" s="1">
        <v>2130.0</v>
      </c>
      <c r="J1203" s="1"/>
      <c r="K1203" s="1"/>
      <c r="L1203" s="1" t="s">
        <v>167</v>
      </c>
      <c r="M1203" s="1" t="s">
        <v>5091</v>
      </c>
      <c r="N1203" s="1" t="s">
        <v>283</v>
      </c>
      <c r="O1203" s="1" t="s">
        <v>1364</v>
      </c>
      <c r="P1203" s="2">
        <v>43789.1666666667</v>
      </c>
      <c r="Q1203" s="1" t="s">
        <v>373</v>
      </c>
      <c r="R1203" s="3">
        <v>43789.0</v>
      </c>
      <c r="S1203" s="1"/>
      <c r="T1203" s="1">
        <v>5105507.0</v>
      </c>
      <c r="U1203" s="1" t="s">
        <v>3191</v>
      </c>
      <c r="V1203" s="1" t="s">
        <v>164</v>
      </c>
      <c r="W1203" s="1" t="s">
        <v>177</v>
      </c>
      <c r="X1203" s="1"/>
      <c r="Y1203" s="1" t="str">
        <f>"02013000365202072"</f>
        <v>02013000365202072</v>
      </c>
      <c r="Z1203" s="1" t="s">
        <v>128</v>
      </c>
      <c r="AA1203" s="1" t="s">
        <v>5092</v>
      </c>
      <c r="AB1203" s="1" t="str">
        <f>"***975122**"</f>
        <v>***975122**</v>
      </c>
      <c r="AC1203" s="1"/>
      <c r="AD1203" s="1"/>
      <c r="AE1203" s="1"/>
      <c r="AF1203" s="1">
        <v>-59.502777</v>
      </c>
      <c r="AG1203" s="1">
        <v>-14.965833</v>
      </c>
      <c r="AH1203" s="1" t="s">
        <v>3193</v>
      </c>
      <c r="AI1203" s="1"/>
      <c r="AJ1203" s="1" t="s">
        <v>167</v>
      </c>
      <c r="AK1203" s="1"/>
      <c r="AL1203" s="1" t="s">
        <v>79</v>
      </c>
      <c r="AM1203" s="1" t="s">
        <v>65</v>
      </c>
      <c r="AN1203" s="1" t="s">
        <v>3194</v>
      </c>
      <c r="AO1203" s="2">
        <v>43976.0</v>
      </c>
      <c r="AP1203" s="2">
        <v>43976.7749768518</v>
      </c>
      <c r="AQ1203" s="1" t="s">
        <v>80</v>
      </c>
      <c r="AR1203" s="1" t="s">
        <v>5089</v>
      </c>
      <c r="AS1203" s="1"/>
      <c r="AT1203" s="2">
        <v>44269.931099537</v>
      </c>
    </row>
    <row r="1204" ht="13.5" customHeight="1">
      <c r="A1204" s="1">
        <v>2036888.0</v>
      </c>
      <c r="B1204" s="1" t="s">
        <v>67</v>
      </c>
      <c r="C1204" s="1" t="s">
        <v>68</v>
      </c>
      <c r="D1204" s="1" t="s">
        <v>46</v>
      </c>
      <c r="E1204" s="1" t="s">
        <v>5093</v>
      </c>
      <c r="F1204" s="1"/>
      <c r="G1204" s="1" t="s">
        <v>70</v>
      </c>
      <c r="H1204" s="1" t="s">
        <v>50</v>
      </c>
      <c r="I1204" s="1">
        <v>2130.0</v>
      </c>
      <c r="J1204" s="1"/>
      <c r="K1204" s="1"/>
      <c r="L1204" s="1" t="s">
        <v>167</v>
      </c>
      <c r="M1204" s="1" t="s">
        <v>5086</v>
      </c>
      <c r="N1204" s="1" t="s">
        <v>283</v>
      </c>
      <c r="O1204" s="1" t="s">
        <v>1364</v>
      </c>
      <c r="P1204" s="2">
        <v>43789.1666666667</v>
      </c>
      <c r="Q1204" s="1" t="s">
        <v>373</v>
      </c>
      <c r="R1204" s="3">
        <v>43789.0</v>
      </c>
      <c r="S1204" s="1"/>
      <c r="T1204" s="1">
        <v>5105507.0</v>
      </c>
      <c r="U1204" s="1" t="s">
        <v>3191</v>
      </c>
      <c r="V1204" s="1" t="s">
        <v>164</v>
      </c>
      <c r="W1204" s="1" t="s">
        <v>177</v>
      </c>
      <c r="X1204" s="1"/>
      <c r="Y1204" s="1" t="str">
        <f>"02013000366202017"</f>
        <v>02013000366202017</v>
      </c>
      <c r="Z1204" s="1" t="s">
        <v>128</v>
      </c>
      <c r="AA1204" s="1" t="s">
        <v>5094</v>
      </c>
      <c r="AB1204" s="1" t="str">
        <f>"***219532**"</f>
        <v>***219532**</v>
      </c>
      <c r="AC1204" s="1"/>
      <c r="AD1204" s="1"/>
      <c r="AE1204" s="1"/>
      <c r="AF1204" s="1">
        <v>-59.503334</v>
      </c>
      <c r="AG1204" s="1">
        <v>-14.965278</v>
      </c>
      <c r="AH1204" s="1" t="s">
        <v>5088</v>
      </c>
      <c r="AI1204" s="1"/>
      <c r="AJ1204" s="1" t="s">
        <v>167</v>
      </c>
      <c r="AK1204" s="1"/>
      <c r="AL1204" s="1" t="s">
        <v>79</v>
      </c>
      <c r="AM1204" s="1" t="s">
        <v>65</v>
      </c>
      <c r="AN1204" s="1" t="s">
        <v>3194</v>
      </c>
      <c r="AO1204" s="2">
        <v>43976.0</v>
      </c>
      <c r="AP1204" s="2">
        <v>43976.7751851852</v>
      </c>
      <c r="AQ1204" s="1" t="s">
        <v>80</v>
      </c>
      <c r="AR1204" s="1" t="s">
        <v>5089</v>
      </c>
      <c r="AS1204" s="1"/>
      <c r="AT1204" s="2">
        <v>44269.931099537</v>
      </c>
    </row>
    <row r="1205" ht="13.5" customHeight="1">
      <c r="A1205" s="1">
        <v>2036886.0</v>
      </c>
      <c r="B1205" s="1" t="s">
        <v>67</v>
      </c>
      <c r="C1205" s="1" t="s">
        <v>68</v>
      </c>
      <c r="D1205" s="1" t="s">
        <v>46</v>
      </c>
      <c r="E1205" s="1" t="s">
        <v>5095</v>
      </c>
      <c r="F1205" s="1"/>
      <c r="G1205" s="1" t="s">
        <v>70</v>
      </c>
      <c r="H1205" s="1" t="s">
        <v>50</v>
      </c>
      <c r="I1205" s="1">
        <v>2130.0</v>
      </c>
      <c r="J1205" s="1"/>
      <c r="K1205" s="1"/>
      <c r="L1205" s="1" t="s">
        <v>167</v>
      </c>
      <c r="M1205" s="1" t="s">
        <v>5096</v>
      </c>
      <c r="N1205" s="1" t="s">
        <v>283</v>
      </c>
      <c r="O1205" s="1" t="s">
        <v>1364</v>
      </c>
      <c r="P1205" s="2">
        <v>43789.125</v>
      </c>
      <c r="Q1205" s="1" t="s">
        <v>373</v>
      </c>
      <c r="R1205" s="3">
        <v>43789.0</v>
      </c>
      <c r="S1205" s="1"/>
      <c r="T1205" s="1">
        <v>5105507.0</v>
      </c>
      <c r="U1205" s="1" t="s">
        <v>3191</v>
      </c>
      <c r="V1205" s="1" t="s">
        <v>164</v>
      </c>
      <c r="W1205" s="1" t="s">
        <v>177</v>
      </c>
      <c r="X1205" s="1"/>
      <c r="Y1205" s="1" t="str">
        <f>"02013000364202028"</f>
        <v>02013000364202028</v>
      </c>
      <c r="Z1205" s="1" t="s">
        <v>128</v>
      </c>
      <c r="AA1205" s="1" t="s">
        <v>5097</v>
      </c>
      <c r="AB1205" s="1" t="str">
        <f>"***206486**"</f>
        <v>***206486**</v>
      </c>
      <c r="AC1205" s="1"/>
      <c r="AD1205" s="1"/>
      <c r="AE1205" s="1"/>
      <c r="AF1205" s="1">
        <v>-59.502777</v>
      </c>
      <c r="AG1205" s="1">
        <v>-14.965833</v>
      </c>
      <c r="AH1205" s="1" t="s">
        <v>3193</v>
      </c>
      <c r="AI1205" s="1"/>
      <c r="AJ1205" s="1" t="s">
        <v>167</v>
      </c>
      <c r="AK1205" s="1"/>
      <c r="AL1205" s="1" t="s">
        <v>79</v>
      </c>
      <c r="AM1205" s="1" t="s">
        <v>65</v>
      </c>
      <c r="AN1205" s="1" t="s">
        <v>3194</v>
      </c>
      <c r="AO1205" s="2">
        <v>43976.0</v>
      </c>
      <c r="AP1205" s="2">
        <v>43976.7734606482</v>
      </c>
      <c r="AQ1205" s="1" t="s">
        <v>80</v>
      </c>
      <c r="AR1205" s="1" t="s">
        <v>5089</v>
      </c>
      <c r="AS1205" s="1"/>
      <c r="AT1205" s="2">
        <v>44269.931099537</v>
      </c>
    </row>
    <row r="1206" ht="13.5" customHeight="1">
      <c r="A1206" s="1"/>
      <c r="B1206" s="1" t="s">
        <v>46</v>
      </c>
      <c r="C1206" s="1" t="s">
        <v>47</v>
      </c>
      <c r="D1206" s="1"/>
      <c r="E1206" s="1" t="s">
        <v>5098</v>
      </c>
      <c r="F1206" s="1"/>
      <c r="G1206" s="1" t="s">
        <v>49</v>
      </c>
      <c r="H1206" s="1" t="s">
        <v>93</v>
      </c>
      <c r="I1206" s="1">
        <v>25500.0</v>
      </c>
      <c r="J1206" s="1"/>
      <c r="K1206" s="1" t="s">
        <v>140</v>
      </c>
      <c r="L1206" s="1"/>
      <c r="M1206" s="1" t="s">
        <v>5099</v>
      </c>
      <c r="N1206" s="1" t="s">
        <v>72</v>
      </c>
      <c r="O1206" s="1" t="s">
        <v>1364</v>
      </c>
      <c r="P1206" s="2">
        <v>43789.0857407407</v>
      </c>
      <c r="Q1206" s="1" t="s">
        <v>373</v>
      </c>
      <c r="R1206" s="1"/>
      <c r="S1206" s="1"/>
      <c r="T1206" s="1">
        <v>1505502.0</v>
      </c>
      <c r="U1206" s="1" t="s">
        <v>1313</v>
      </c>
      <c r="V1206" s="1" t="s">
        <v>193</v>
      </c>
      <c r="W1206" s="1" t="s">
        <v>177</v>
      </c>
      <c r="X1206" s="1"/>
      <c r="Y1206" s="1"/>
      <c r="Z1206" s="1"/>
      <c r="AA1206" s="1" t="s">
        <v>5100</v>
      </c>
      <c r="AB1206" s="1" t="str">
        <f>"***752952**"</f>
        <v>***752952**</v>
      </c>
      <c r="AC1206" s="1"/>
      <c r="AD1206" s="1" t="s">
        <v>62</v>
      </c>
      <c r="AE1206" s="1"/>
      <c r="AF1206" s="1">
        <v>-48.453335</v>
      </c>
      <c r="AG1206" s="1">
        <v>-3.530555</v>
      </c>
      <c r="AH1206" s="1" t="s">
        <v>5101</v>
      </c>
      <c r="AI1206" s="1"/>
      <c r="AJ1206" s="1" t="s">
        <v>172</v>
      </c>
      <c r="AK1206" s="1"/>
      <c r="AL1206" s="1"/>
      <c r="AM1206" s="1" t="s">
        <v>65</v>
      </c>
      <c r="AN1206" s="1" t="s">
        <v>1395</v>
      </c>
      <c r="AO1206" s="1"/>
      <c r="AP1206" s="2">
        <v>43988.4380324074</v>
      </c>
      <c r="AQ1206" s="1"/>
      <c r="AR1206" s="1" t="s">
        <v>229</v>
      </c>
      <c r="AS1206" s="1" t="s">
        <v>5102</v>
      </c>
      <c r="AT1206" s="2">
        <v>44269.931099537</v>
      </c>
    </row>
    <row r="1207" ht="13.5" customHeight="1">
      <c r="A1207" s="1">
        <v>2036885.0</v>
      </c>
      <c r="B1207" s="1" t="s">
        <v>67</v>
      </c>
      <c r="C1207" s="1" t="s">
        <v>68</v>
      </c>
      <c r="D1207" s="1" t="s">
        <v>46</v>
      </c>
      <c r="E1207" s="1" t="s">
        <v>5103</v>
      </c>
      <c r="F1207" s="1"/>
      <c r="G1207" s="1" t="s">
        <v>70</v>
      </c>
      <c r="H1207" s="1" t="s">
        <v>50</v>
      </c>
      <c r="I1207" s="1">
        <v>2130.0</v>
      </c>
      <c r="J1207" s="1"/>
      <c r="K1207" s="1"/>
      <c r="L1207" s="1" t="s">
        <v>167</v>
      </c>
      <c r="M1207" s="1" t="s">
        <v>5104</v>
      </c>
      <c r="N1207" s="1" t="s">
        <v>283</v>
      </c>
      <c r="O1207" s="1" t="s">
        <v>1364</v>
      </c>
      <c r="P1207" s="2">
        <v>43789.0833333333</v>
      </c>
      <c r="Q1207" s="1" t="s">
        <v>373</v>
      </c>
      <c r="R1207" s="3">
        <v>43789.0</v>
      </c>
      <c r="S1207" s="1"/>
      <c r="T1207" s="1">
        <v>5105507.0</v>
      </c>
      <c r="U1207" s="1" t="s">
        <v>3191</v>
      </c>
      <c r="V1207" s="1" t="s">
        <v>164</v>
      </c>
      <c r="W1207" s="1" t="s">
        <v>177</v>
      </c>
      <c r="X1207" s="1"/>
      <c r="Y1207" s="1" t="str">
        <f>"02013000360202040"</f>
        <v>02013000360202040</v>
      </c>
      <c r="Z1207" s="1" t="s">
        <v>128</v>
      </c>
      <c r="AA1207" s="1" t="s">
        <v>5105</v>
      </c>
      <c r="AB1207" s="1" t="str">
        <f>"***995661**"</f>
        <v>***995661**</v>
      </c>
      <c r="AC1207" s="1"/>
      <c r="AD1207" s="1"/>
      <c r="AE1207" s="1"/>
      <c r="AF1207" s="1">
        <v>-59.502777</v>
      </c>
      <c r="AG1207" s="1">
        <v>-14.965833</v>
      </c>
      <c r="AH1207" s="1" t="s">
        <v>3193</v>
      </c>
      <c r="AI1207" s="1"/>
      <c r="AJ1207" s="1" t="s">
        <v>167</v>
      </c>
      <c r="AK1207" s="1"/>
      <c r="AL1207" s="1" t="s">
        <v>79</v>
      </c>
      <c r="AM1207" s="1" t="s">
        <v>65</v>
      </c>
      <c r="AN1207" s="1" t="s">
        <v>3194</v>
      </c>
      <c r="AO1207" s="2">
        <v>43976.0</v>
      </c>
      <c r="AP1207" s="2">
        <v>43976.7714930556</v>
      </c>
      <c r="AQ1207" s="1" t="s">
        <v>80</v>
      </c>
      <c r="AR1207" s="1" t="s">
        <v>1078</v>
      </c>
      <c r="AS1207" s="1"/>
      <c r="AT1207" s="2">
        <v>44269.931099537</v>
      </c>
    </row>
    <row r="1208" ht="13.5" customHeight="1">
      <c r="A1208" s="1"/>
      <c r="B1208" s="1" t="s">
        <v>46</v>
      </c>
      <c r="C1208" s="1" t="s">
        <v>47</v>
      </c>
      <c r="D1208" s="1"/>
      <c r="E1208" s="1" t="s">
        <v>5106</v>
      </c>
      <c r="F1208" s="1"/>
      <c r="G1208" s="1" t="s">
        <v>49</v>
      </c>
      <c r="H1208" s="1" t="s">
        <v>93</v>
      </c>
      <c r="I1208" s="1">
        <v>51000.0</v>
      </c>
      <c r="J1208" s="1"/>
      <c r="K1208" s="1" t="s">
        <v>140</v>
      </c>
      <c r="L1208" s="1"/>
      <c r="M1208" s="1" t="s">
        <v>5107</v>
      </c>
      <c r="N1208" s="1" t="s">
        <v>72</v>
      </c>
      <c r="O1208" s="1" t="s">
        <v>1364</v>
      </c>
      <c r="P1208" s="2">
        <v>43789.0771759259</v>
      </c>
      <c r="Q1208" s="1" t="s">
        <v>373</v>
      </c>
      <c r="R1208" s="1"/>
      <c r="S1208" s="1"/>
      <c r="T1208" s="1">
        <v>1505502.0</v>
      </c>
      <c r="U1208" s="1" t="s">
        <v>1313</v>
      </c>
      <c r="V1208" s="1" t="s">
        <v>193</v>
      </c>
      <c r="W1208" s="1" t="s">
        <v>177</v>
      </c>
      <c r="X1208" s="1"/>
      <c r="Y1208" s="1"/>
      <c r="Z1208" s="1"/>
      <c r="AA1208" s="1" t="s">
        <v>5108</v>
      </c>
      <c r="AB1208" s="1" t="str">
        <f t="shared" ref="AB1208:AB1210" si="67">"03532877000111"</f>
        <v>03532877000111</v>
      </c>
      <c r="AC1208" s="1"/>
      <c r="AD1208" s="1" t="s">
        <v>62</v>
      </c>
      <c r="AE1208" s="1"/>
      <c r="AF1208" s="1">
        <v>-48.453335</v>
      </c>
      <c r="AG1208" s="1">
        <v>-3.530555</v>
      </c>
      <c r="AH1208" s="1" t="s">
        <v>5101</v>
      </c>
      <c r="AI1208" s="1"/>
      <c r="AJ1208" s="1" t="s">
        <v>172</v>
      </c>
      <c r="AK1208" s="1"/>
      <c r="AL1208" s="1"/>
      <c r="AM1208" s="1" t="s">
        <v>65</v>
      </c>
      <c r="AN1208" s="1" t="s">
        <v>1395</v>
      </c>
      <c r="AO1208" s="1"/>
      <c r="AP1208" s="2">
        <v>43988.4383217593</v>
      </c>
      <c r="AQ1208" s="1"/>
      <c r="AR1208" s="1" t="s">
        <v>229</v>
      </c>
      <c r="AS1208" s="1"/>
      <c r="AT1208" s="2">
        <v>44269.931099537</v>
      </c>
    </row>
    <row r="1209" ht="13.5" customHeight="1">
      <c r="A1209" s="1"/>
      <c r="B1209" s="1" t="s">
        <v>46</v>
      </c>
      <c r="C1209" s="1" t="s">
        <v>47</v>
      </c>
      <c r="D1209" s="1"/>
      <c r="E1209" s="1" t="s">
        <v>5109</v>
      </c>
      <c r="F1209" s="1"/>
      <c r="G1209" s="1" t="s">
        <v>49</v>
      </c>
      <c r="H1209" s="1" t="s">
        <v>93</v>
      </c>
      <c r="I1209" s="1">
        <v>20000.0</v>
      </c>
      <c r="J1209" s="1"/>
      <c r="K1209" s="1" t="s">
        <v>140</v>
      </c>
      <c r="L1209" s="1"/>
      <c r="M1209" s="1" t="s">
        <v>5110</v>
      </c>
      <c r="N1209" s="1" t="s">
        <v>123</v>
      </c>
      <c r="O1209" s="1" t="s">
        <v>73</v>
      </c>
      <c r="P1209" s="2">
        <v>43789.0636689815</v>
      </c>
      <c r="Q1209" s="1" t="s">
        <v>373</v>
      </c>
      <c r="R1209" s="1"/>
      <c r="S1209" s="1" t="s">
        <v>191</v>
      </c>
      <c r="T1209" s="1">
        <v>1505502.0</v>
      </c>
      <c r="U1209" s="1" t="s">
        <v>1313</v>
      </c>
      <c r="V1209" s="1" t="s">
        <v>193</v>
      </c>
      <c r="W1209" s="1" t="s">
        <v>177</v>
      </c>
      <c r="X1209" s="1"/>
      <c r="Y1209" s="1"/>
      <c r="Z1209" s="1" t="s">
        <v>76</v>
      </c>
      <c r="AA1209" s="1" t="s">
        <v>5108</v>
      </c>
      <c r="AB1209" s="1" t="str">
        <f t="shared" si="67"/>
        <v>03532877000111</v>
      </c>
      <c r="AC1209" s="1"/>
      <c r="AD1209" s="1" t="s">
        <v>149</v>
      </c>
      <c r="AE1209" s="1"/>
      <c r="AF1209" s="1">
        <v>-48.452778</v>
      </c>
      <c r="AG1209" s="1">
        <v>-3.5325</v>
      </c>
      <c r="AH1209" s="1" t="s">
        <v>5111</v>
      </c>
      <c r="AI1209" s="1"/>
      <c r="AJ1209" s="1" t="s">
        <v>172</v>
      </c>
      <c r="AK1209" s="1"/>
      <c r="AL1209" s="1"/>
      <c r="AM1209" s="1" t="s">
        <v>65</v>
      </c>
      <c r="AN1209" s="1" t="s">
        <v>1395</v>
      </c>
      <c r="AO1209" s="1"/>
      <c r="AP1209" s="2">
        <v>43988.4379282407</v>
      </c>
      <c r="AQ1209" s="1"/>
      <c r="AR1209" s="1" t="s">
        <v>169</v>
      </c>
      <c r="AS1209" s="1"/>
      <c r="AT1209" s="2">
        <v>44269.931099537</v>
      </c>
    </row>
    <row r="1210" ht="13.5" customHeight="1">
      <c r="A1210" s="1"/>
      <c r="B1210" s="1" t="s">
        <v>46</v>
      </c>
      <c r="C1210" s="1" t="s">
        <v>47</v>
      </c>
      <c r="D1210" s="1"/>
      <c r="E1210" s="1" t="s">
        <v>5112</v>
      </c>
      <c r="F1210" s="1"/>
      <c r="G1210" s="1" t="s">
        <v>49</v>
      </c>
      <c r="H1210" s="1" t="s">
        <v>93</v>
      </c>
      <c r="I1210" s="1">
        <v>158289.0</v>
      </c>
      <c r="J1210" s="1"/>
      <c r="K1210" s="1" t="s">
        <v>140</v>
      </c>
      <c r="L1210" s="1"/>
      <c r="M1210" s="1" t="s">
        <v>5113</v>
      </c>
      <c r="N1210" s="1" t="s">
        <v>123</v>
      </c>
      <c r="O1210" s="1" t="s">
        <v>73</v>
      </c>
      <c r="P1210" s="2">
        <v>43789.0496990741</v>
      </c>
      <c r="Q1210" s="1" t="s">
        <v>373</v>
      </c>
      <c r="R1210" s="1"/>
      <c r="S1210" s="1"/>
      <c r="T1210" s="1">
        <v>1505502.0</v>
      </c>
      <c r="U1210" s="1" t="s">
        <v>1313</v>
      </c>
      <c r="V1210" s="1" t="s">
        <v>193</v>
      </c>
      <c r="W1210" s="1" t="s">
        <v>177</v>
      </c>
      <c r="X1210" s="1"/>
      <c r="Y1210" s="1"/>
      <c r="Z1210" s="1" t="s">
        <v>76</v>
      </c>
      <c r="AA1210" s="1" t="s">
        <v>5108</v>
      </c>
      <c r="AB1210" s="1" t="str">
        <f t="shared" si="67"/>
        <v>03532877000111</v>
      </c>
      <c r="AC1210" s="1"/>
      <c r="AD1210" s="1" t="s">
        <v>62</v>
      </c>
      <c r="AE1210" s="1"/>
      <c r="AF1210" s="1">
        <v>-48.452778</v>
      </c>
      <c r="AG1210" s="1">
        <v>-3.5325</v>
      </c>
      <c r="AH1210" s="1" t="s">
        <v>5111</v>
      </c>
      <c r="AI1210" s="1"/>
      <c r="AJ1210" s="1" t="s">
        <v>172</v>
      </c>
      <c r="AK1210" s="1"/>
      <c r="AL1210" s="1"/>
      <c r="AM1210" s="1" t="s">
        <v>65</v>
      </c>
      <c r="AN1210" s="1" t="s">
        <v>1395</v>
      </c>
      <c r="AO1210" s="1"/>
      <c r="AP1210" s="2">
        <v>43988.438599537</v>
      </c>
      <c r="AQ1210" s="1"/>
      <c r="AR1210" s="1" t="s">
        <v>229</v>
      </c>
      <c r="AS1210" s="1" t="s">
        <v>5114</v>
      </c>
      <c r="AT1210" s="2">
        <v>44269.931099537</v>
      </c>
    </row>
    <row r="1211" ht="13.5" customHeight="1">
      <c r="A1211" s="1">
        <v>2038974.0</v>
      </c>
      <c r="B1211" s="1" t="s">
        <v>67</v>
      </c>
      <c r="C1211" s="1" t="s">
        <v>68</v>
      </c>
      <c r="D1211" s="1" t="s">
        <v>46</v>
      </c>
      <c r="E1211" s="1" t="s">
        <v>5115</v>
      </c>
      <c r="F1211" s="1"/>
      <c r="G1211" s="1" t="s">
        <v>70</v>
      </c>
      <c r="H1211" s="1" t="s">
        <v>93</v>
      </c>
      <c r="I1211" s="1">
        <v>70000.0</v>
      </c>
      <c r="J1211" s="1"/>
      <c r="K1211" s="1"/>
      <c r="L1211" s="1" t="s">
        <v>1172</v>
      </c>
      <c r="M1211" s="1" t="s">
        <v>5116</v>
      </c>
      <c r="N1211" s="1" t="s">
        <v>142</v>
      </c>
      <c r="O1211" s="1" t="s">
        <v>143</v>
      </c>
      <c r="P1211" s="2">
        <v>43789.0416666667</v>
      </c>
      <c r="Q1211" s="1" t="s">
        <v>74</v>
      </c>
      <c r="R1211" s="3">
        <v>43803.0</v>
      </c>
      <c r="S1211" s="1"/>
      <c r="T1211" s="1">
        <v>1505064.0</v>
      </c>
      <c r="U1211" s="1" t="s">
        <v>2897</v>
      </c>
      <c r="V1211" s="1" t="s">
        <v>193</v>
      </c>
      <c r="W1211" s="1" t="s">
        <v>177</v>
      </c>
      <c r="X1211" s="1"/>
      <c r="Y1211" s="1"/>
      <c r="Z1211" s="1" t="s">
        <v>147</v>
      </c>
      <c r="AA1211" s="1" t="s">
        <v>2898</v>
      </c>
      <c r="AB1211" s="1" t="str">
        <f>"***103281**"</f>
        <v>***103281**</v>
      </c>
      <c r="AC1211" s="1"/>
      <c r="AD1211" s="1"/>
      <c r="AE1211" s="1"/>
      <c r="AF1211" s="1">
        <v>-50.590279</v>
      </c>
      <c r="AG1211" s="1">
        <v>-4.955277</v>
      </c>
      <c r="AH1211" s="1" t="s">
        <v>5117</v>
      </c>
      <c r="AI1211" s="1"/>
      <c r="AJ1211" s="1" t="s">
        <v>1172</v>
      </c>
      <c r="AK1211" s="1"/>
      <c r="AL1211" s="1" t="s">
        <v>79</v>
      </c>
      <c r="AM1211" s="1" t="s">
        <v>65</v>
      </c>
      <c r="AN1211" s="1" t="s">
        <v>3087</v>
      </c>
      <c r="AO1211" s="2">
        <v>44050.0</v>
      </c>
      <c r="AP1211" s="2">
        <v>44050.4651273148</v>
      </c>
      <c r="AQ1211" s="1" t="s">
        <v>80</v>
      </c>
      <c r="AR1211" s="1" t="s">
        <v>421</v>
      </c>
      <c r="AS1211" s="1"/>
      <c r="AT1211" s="2">
        <v>44269.931099537</v>
      </c>
    </row>
    <row r="1212" ht="13.5" customHeight="1">
      <c r="A1212" s="1"/>
      <c r="B1212" s="1" t="s">
        <v>46</v>
      </c>
      <c r="C1212" s="1" t="s">
        <v>47</v>
      </c>
      <c r="D1212" s="1"/>
      <c r="E1212" s="1" t="s">
        <v>5118</v>
      </c>
      <c r="F1212" s="1"/>
      <c r="G1212" s="1" t="s">
        <v>49</v>
      </c>
      <c r="H1212" s="1" t="s">
        <v>93</v>
      </c>
      <c r="I1212" s="1">
        <v>90000.0</v>
      </c>
      <c r="J1212" s="1"/>
      <c r="K1212" s="1"/>
      <c r="L1212" s="1"/>
      <c r="M1212" s="1" t="s">
        <v>5119</v>
      </c>
      <c r="N1212" s="1" t="s">
        <v>142</v>
      </c>
      <c r="O1212" s="1" t="s">
        <v>143</v>
      </c>
      <c r="P1212" s="2">
        <v>43788.8836805556</v>
      </c>
      <c r="Q1212" s="1" t="s">
        <v>373</v>
      </c>
      <c r="R1212" s="1"/>
      <c r="S1212" s="1"/>
      <c r="T1212" s="1">
        <v>1505502.0</v>
      </c>
      <c r="U1212" s="1" t="s">
        <v>1313</v>
      </c>
      <c r="V1212" s="1" t="s">
        <v>193</v>
      </c>
      <c r="W1212" s="1" t="s">
        <v>177</v>
      </c>
      <c r="X1212" s="1"/>
      <c r="Y1212" s="1"/>
      <c r="Z1212" s="1" t="s">
        <v>147</v>
      </c>
      <c r="AA1212" s="1" t="s">
        <v>5108</v>
      </c>
      <c r="AB1212" s="1" t="str">
        <f>"03532877000111"</f>
        <v>03532877000111</v>
      </c>
      <c r="AC1212" s="1"/>
      <c r="AD1212" s="1" t="s">
        <v>149</v>
      </c>
      <c r="AE1212" s="1"/>
      <c r="AF1212" s="1">
        <v>-48.452778</v>
      </c>
      <c r="AG1212" s="1">
        <v>-3.5325</v>
      </c>
      <c r="AH1212" s="1" t="s">
        <v>5120</v>
      </c>
      <c r="AI1212" s="1"/>
      <c r="AJ1212" s="1" t="s">
        <v>172</v>
      </c>
      <c r="AK1212" s="1"/>
      <c r="AL1212" s="1"/>
      <c r="AM1212" s="1" t="s">
        <v>65</v>
      </c>
      <c r="AN1212" s="1" t="s">
        <v>1395</v>
      </c>
      <c r="AO1212" s="1"/>
      <c r="AP1212" s="2">
        <v>43988.4389351852</v>
      </c>
      <c r="AQ1212" s="1"/>
      <c r="AR1212" s="1" t="s">
        <v>360</v>
      </c>
      <c r="AS1212" s="1" t="s">
        <v>5114</v>
      </c>
      <c r="AT1212" s="2">
        <v>44269.931099537</v>
      </c>
    </row>
    <row r="1213" ht="13.5" customHeight="1">
      <c r="A1213" s="1"/>
      <c r="B1213" s="1" t="s">
        <v>46</v>
      </c>
      <c r="C1213" s="1" t="s">
        <v>47</v>
      </c>
      <c r="D1213" s="1"/>
      <c r="E1213" s="1" t="s">
        <v>5121</v>
      </c>
      <c r="F1213" s="1"/>
      <c r="G1213" s="1"/>
      <c r="H1213" s="1" t="s">
        <v>50</v>
      </c>
      <c r="I1213" s="1">
        <v>210000.0</v>
      </c>
      <c r="J1213" s="1"/>
      <c r="K1213" s="1" t="s">
        <v>140</v>
      </c>
      <c r="L1213" s="1"/>
      <c r="M1213" s="1" t="s">
        <v>5122</v>
      </c>
      <c r="N1213" s="1" t="s">
        <v>142</v>
      </c>
      <c r="O1213" s="1" t="s">
        <v>143</v>
      </c>
      <c r="P1213" s="2">
        <v>43788.8491782408</v>
      </c>
      <c r="Q1213" s="1" t="s">
        <v>74</v>
      </c>
      <c r="R1213" s="3">
        <v>43788.0</v>
      </c>
      <c r="S1213" s="1"/>
      <c r="T1213" s="1">
        <v>1505031.0</v>
      </c>
      <c r="U1213" s="1" t="s">
        <v>5123</v>
      </c>
      <c r="V1213" s="1" t="s">
        <v>193</v>
      </c>
      <c r="W1213" s="1" t="s">
        <v>177</v>
      </c>
      <c r="X1213" s="1"/>
      <c r="Y1213" s="1"/>
      <c r="Z1213" s="1" t="s">
        <v>147</v>
      </c>
      <c r="AA1213" s="1" t="s">
        <v>5124</v>
      </c>
      <c r="AB1213" s="1" t="str">
        <f>"***166421**"</f>
        <v>***166421**</v>
      </c>
      <c r="AC1213" s="1"/>
      <c r="AD1213" s="1" t="s">
        <v>116</v>
      </c>
      <c r="AE1213" s="1"/>
      <c r="AF1213" s="1">
        <v>-55.516109</v>
      </c>
      <c r="AG1213" s="1">
        <v>-7.020833</v>
      </c>
      <c r="AH1213" s="1" t="s">
        <v>5125</v>
      </c>
      <c r="AI1213" s="1"/>
      <c r="AJ1213" s="1" t="s">
        <v>172</v>
      </c>
      <c r="AK1213" s="1"/>
      <c r="AL1213" s="1"/>
      <c r="AM1213" s="1" t="s">
        <v>65</v>
      </c>
      <c r="AN1213" s="1" t="s">
        <v>1395</v>
      </c>
      <c r="AO1213" s="1"/>
      <c r="AP1213" s="2">
        <v>43788.8685185185</v>
      </c>
      <c r="AQ1213" s="1"/>
      <c r="AR1213" s="1" t="s">
        <v>5126</v>
      </c>
      <c r="AS1213" s="1" t="s">
        <v>5127</v>
      </c>
      <c r="AT1213" s="2">
        <v>44269.931099537</v>
      </c>
    </row>
    <row r="1214" ht="13.5" customHeight="1">
      <c r="A1214" s="1"/>
      <c r="B1214" s="1" t="s">
        <v>46</v>
      </c>
      <c r="C1214" s="1" t="s">
        <v>47</v>
      </c>
      <c r="D1214" s="1"/>
      <c r="E1214" s="1" t="s">
        <v>5128</v>
      </c>
      <c r="F1214" s="1"/>
      <c r="G1214" s="1"/>
      <c r="H1214" s="1" t="s">
        <v>93</v>
      </c>
      <c r="I1214" s="1">
        <v>150.0</v>
      </c>
      <c r="J1214" s="1"/>
      <c r="K1214" s="1"/>
      <c r="L1214" s="1"/>
      <c r="M1214" s="1" t="s">
        <v>5129</v>
      </c>
      <c r="N1214" s="1" t="s">
        <v>108</v>
      </c>
      <c r="O1214" s="1" t="s">
        <v>109</v>
      </c>
      <c r="P1214" s="2">
        <v>43788.7972685185</v>
      </c>
      <c r="Q1214" s="1" t="s">
        <v>74</v>
      </c>
      <c r="R1214" s="3">
        <v>43788.0</v>
      </c>
      <c r="S1214" s="1"/>
      <c r="T1214" s="1">
        <v>1506807.0</v>
      </c>
      <c r="U1214" s="1" t="s">
        <v>1026</v>
      </c>
      <c r="V1214" s="1" t="s">
        <v>193</v>
      </c>
      <c r="W1214" s="1" t="s">
        <v>177</v>
      </c>
      <c r="X1214" s="1"/>
      <c r="Y1214" s="1"/>
      <c r="Z1214" s="1" t="s">
        <v>226</v>
      </c>
      <c r="AA1214" s="1" t="s">
        <v>5130</v>
      </c>
      <c r="AB1214" s="1" t="str">
        <f>"10294040000147"</f>
        <v>10294040000147</v>
      </c>
      <c r="AC1214" s="1"/>
      <c r="AD1214" s="1" t="s">
        <v>149</v>
      </c>
      <c r="AE1214" s="1"/>
      <c r="AF1214" s="1">
        <v>-54.699722</v>
      </c>
      <c r="AG1214" s="1">
        <v>-2.422778</v>
      </c>
      <c r="AH1214" s="1" t="s">
        <v>5131</v>
      </c>
      <c r="AI1214" s="1"/>
      <c r="AJ1214" s="1" t="s">
        <v>765</v>
      </c>
      <c r="AK1214" s="1"/>
      <c r="AL1214" s="1"/>
      <c r="AM1214" s="1" t="s">
        <v>65</v>
      </c>
      <c r="AN1214" s="1"/>
      <c r="AO1214" s="1"/>
      <c r="AP1214" s="2">
        <v>43788.8211805556</v>
      </c>
      <c r="AQ1214" s="1"/>
      <c r="AR1214" s="1" t="s">
        <v>5132</v>
      </c>
      <c r="AS1214" s="1"/>
      <c r="AT1214" s="2">
        <v>44269.931099537</v>
      </c>
    </row>
    <row r="1215" ht="13.5" customHeight="1">
      <c r="A1215" s="1"/>
      <c r="B1215" s="1" t="s">
        <v>46</v>
      </c>
      <c r="C1215" s="1" t="s">
        <v>47</v>
      </c>
      <c r="D1215" s="1"/>
      <c r="E1215" s="1" t="s">
        <v>5133</v>
      </c>
      <c r="F1215" s="1"/>
      <c r="G1215" s="1"/>
      <c r="H1215" s="1" t="s">
        <v>93</v>
      </c>
      <c r="I1215" s="1">
        <v>2.34693E7</v>
      </c>
      <c r="J1215" s="1"/>
      <c r="K1215" s="1"/>
      <c r="L1215" s="1"/>
      <c r="M1215" s="1" t="s">
        <v>5134</v>
      </c>
      <c r="N1215" s="1" t="s">
        <v>142</v>
      </c>
      <c r="O1215" s="1" t="s">
        <v>143</v>
      </c>
      <c r="P1215" s="2">
        <v>43788.7855902778</v>
      </c>
      <c r="Q1215" s="1" t="s">
        <v>55</v>
      </c>
      <c r="R1215" s="1"/>
      <c r="S1215" s="1"/>
      <c r="T1215" s="1">
        <v>1500602.0</v>
      </c>
      <c r="U1215" s="1" t="s">
        <v>5135</v>
      </c>
      <c r="V1215" s="1" t="s">
        <v>193</v>
      </c>
      <c r="W1215" s="1" t="s">
        <v>177</v>
      </c>
      <c r="X1215" s="1"/>
      <c r="Y1215" s="1"/>
      <c r="Z1215" s="1" t="s">
        <v>147</v>
      </c>
      <c r="AA1215" s="1" t="s">
        <v>5136</v>
      </c>
      <c r="AB1215" s="1" t="str">
        <f>"***830639**"</f>
        <v>***830639**</v>
      </c>
      <c r="AC1215" s="1"/>
      <c r="AD1215" s="1" t="s">
        <v>2103</v>
      </c>
      <c r="AE1215" s="1"/>
      <c r="AF1215" s="1">
        <v>-55.176945</v>
      </c>
      <c r="AG1215" s="1">
        <v>-6.360278</v>
      </c>
      <c r="AH1215" s="1" t="s">
        <v>5137</v>
      </c>
      <c r="AI1215" s="1"/>
      <c r="AJ1215" s="1" t="s">
        <v>172</v>
      </c>
      <c r="AK1215" s="1"/>
      <c r="AL1215" s="1"/>
      <c r="AM1215" s="1" t="s">
        <v>65</v>
      </c>
      <c r="AN1215" s="1" t="s">
        <v>1395</v>
      </c>
      <c r="AO1215" s="1"/>
      <c r="AP1215" s="2">
        <v>43788.7933449074</v>
      </c>
      <c r="AQ1215" s="1"/>
      <c r="AR1215" s="1" t="s">
        <v>4932</v>
      </c>
      <c r="AS1215" s="1"/>
      <c r="AT1215" s="2">
        <v>44269.931099537</v>
      </c>
    </row>
    <row r="1216" ht="13.5" customHeight="1">
      <c r="A1216" s="1"/>
      <c r="B1216" s="1" t="s">
        <v>46</v>
      </c>
      <c r="C1216" s="1" t="s">
        <v>47</v>
      </c>
      <c r="D1216" s="1"/>
      <c r="E1216" s="1" t="s">
        <v>5138</v>
      </c>
      <c r="F1216" s="1"/>
      <c r="G1216" s="1"/>
      <c r="H1216" s="1" t="s">
        <v>93</v>
      </c>
      <c r="I1216" s="1">
        <v>2394000.0</v>
      </c>
      <c r="J1216" s="1"/>
      <c r="K1216" s="1"/>
      <c r="L1216" s="1"/>
      <c r="M1216" s="1" t="s">
        <v>5139</v>
      </c>
      <c r="N1216" s="1" t="s">
        <v>142</v>
      </c>
      <c r="O1216" s="1" t="s">
        <v>143</v>
      </c>
      <c r="P1216" s="2">
        <v>43788.7672337963</v>
      </c>
      <c r="Q1216" s="1" t="s">
        <v>74</v>
      </c>
      <c r="R1216" s="3">
        <v>43788.0</v>
      </c>
      <c r="S1216" s="1"/>
      <c r="T1216" s="1">
        <v>1505031.0</v>
      </c>
      <c r="U1216" s="1" t="s">
        <v>5123</v>
      </c>
      <c r="V1216" s="1" t="s">
        <v>193</v>
      </c>
      <c r="W1216" s="1" t="s">
        <v>177</v>
      </c>
      <c r="X1216" s="1"/>
      <c r="Y1216" s="1"/>
      <c r="Z1216" s="1" t="s">
        <v>147</v>
      </c>
      <c r="AA1216" s="1" t="s">
        <v>5140</v>
      </c>
      <c r="AB1216" s="1" t="str">
        <f>"***424316**"</f>
        <v>***424316**</v>
      </c>
      <c r="AC1216" s="1"/>
      <c r="AD1216" s="1" t="s">
        <v>2103</v>
      </c>
      <c r="AE1216" s="1"/>
      <c r="AF1216" s="1">
        <v>-55.792778</v>
      </c>
      <c r="AG1216" s="1">
        <v>-7.151111</v>
      </c>
      <c r="AH1216" s="1" t="s">
        <v>5141</v>
      </c>
      <c r="AI1216" s="1"/>
      <c r="AJ1216" s="1" t="s">
        <v>172</v>
      </c>
      <c r="AK1216" s="1"/>
      <c r="AL1216" s="1"/>
      <c r="AM1216" s="1" t="s">
        <v>65</v>
      </c>
      <c r="AN1216" s="1" t="s">
        <v>1395</v>
      </c>
      <c r="AO1216" s="1"/>
      <c r="AP1216" s="2">
        <v>43788.7812615741</v>
      </c>
      <c r="AQ1216" s="1"/>
      <c r="AR1216" s="1" t="s">
        <v>5142</v>
      </c>
      <c r="AS1216" s="1"/>
      <c r="AT1216" s="2">
        <v>44269.931099537</v>
      </c>
    </row>
    <row r="1217" ht="13.5" customHeight="1">
      <c r="A1217" s="1">
        <v>2034881.0</v>
      </c>
      <c r="B1217" s="1" t="s">
        <v>67</v>
      </c>
      <c r="C1217" s="1" t="s">
        <v>68</v>
      </c>
      <c r="D1217" s="1" t="s">
        <v>46</v>
      </c>
      <c r="E1217" s="1" t="s">
        <v>5143</v>
      </c>
      <c r="F1217" s="1"/>
      <c r="G1217" s="1" t="s">
        <v>70</v>
      </c>
      <c r="H1217" s="1" t="s">
        <v>93</v>
      </c>
      <c r="I1217" s="1">
        <v>952500.0</v>
      </c>
      <c r="J1217" s="1"/>
      <c r="K1217" s="1"/>
      <c r="L1217" s="1" t="s">
        <v>172</v>
      </c>
      <c r="M1217" s="1" t="s">
        <v>5144</v>
      </c>
      <c r="N1217" s="1" t="s">
        <v>142</v>
      </c>
      <c r="O1217" s="1" t="s">
        <v>143</v>
      </c>
      <c r="P1217" s="2">
        <v>43788.75</v>
      </c>
      <c r="Q1217" s="1" t="s">
        <v>74</v>
      </c>
      <c r="R1217" s="3">
        <v>43788.0</v>
      </c>
      <c r="S1217" s="1"/>
      <c r="T1217" s="1">
        <v>1505031.0</v>
      </c>
      <c r="U1217" s="1" t="s">
        <v>5123</v>
      </c>
      <c r="V1217" s="1" t="s">
        <v>193</v>
      </c>
      <c r="W1217" s="1" t="s">
        <v>177</v>
      </c>
      <c r="X1217" s="1"/>
      <c r="Y1217" s="1" t="str">
        <f>"02001000064202088"</f>
        <v>02001000064202088</v>
      </c>
      <c r="Z1217" s="1" t="s">
        <v>147</v>
      </c>
      <c r="AA1217" s="1" t="s">
        <v>5124</v>
      </c>
      <c r="AB1217" s="1" t="str">
        <f>"***166421**"</f>
        <v>***166421**</v>
      </c>
      <c r="AC1217" s="1"/>
      <c r="AD1217" s="1"/>
      <c r="AE1217" s="1"/>
      <c r="AF1217" s="1">
        <v>-55.523335</v>
      </c>
      <c r="AG1217" s="1">
        <v>-7.021667</v>
      </c>
      <c r="AH1217" s="1" t="s">
        <v>5145</v>
      </c>
      <c r="AI1217" s="1"/>
      <c r="AJ1217" s="1" t="s">
        <v>172</v>
      </c>
      <c r="AK1217" s="1"/>
      <c r="AL1217" s="1" t="s">
        <v>79</v>
      </c>
      <c r="AM1217" s="1" t="s">
        <v>65</v>
      </c>
      <c r="AN1217" s="1" t="s">
        <v>1395</v>
      </c>
      <c r="AO1217" s="2">
        <v>43892.0</v>
      </c>
      <c r="AP1217" s="2">
        <v>43892.6113541667</v>
      </c>
      <c r="AQ1217" s="1" t="s">
        <v>80</v>
      </c>
      <c r="AR1217" s="1" t="s">
        <v>650</v>
      </c>
      <c r="AS1217" s="1" t="s">
        <v>5146</v>
      </c>
      <c r="AT1217" s="2">
        <v>44269.931099537</v>
      </c>
    </row>
    <row r="1218" ht="13.5" customHeight="1">
      <c r="A1218" s="1">
        <v>2039927.0</v>
      </c>
      <c r="B1218" s="1" t="s">
        <v>67</v>
      </c>
      <c r="C1218" s="1" t="s">
        <v>68</v>
      </c>
      <c r="D1218" s="1" t="s">
        <v>46</v>
      </c>
      <c r="E1218" s="1" t="s">
        <v>5147</v>
      </c>
      <c r="F1218" s="1"/>
      <c r="G1218" s="1" t="s">
        <v>70</v>
      </c>
      <c r="H1218" s="1" t="s">
        <v>93</v>
      </c>
      <c r="I1218" s="1">
        <v>105000.0</v>
      </c>
      <c r="J1218" s="1"/>
      <c r="K1218" s="1"/>
      <c r="L1218" s="1" t="s">
        <v>172</v>
      </c>
      <c r="M1218" s="1" t="s">
        <v>5148</v>
      </c>
      <c r="N1218" s="1" t="s">
        <v>142</v>
      </c>
      <c r="O1218" s="1" t="s">
        <v>143</v>
      </c>
      <c r="P1218" s="2">
        <v>43788.75</v>
      </c>
      <c r="Q1218" s="1" t="s">
        <v>373</v>
      </c>
      <c r="R1218" s="3">
        <v>43788.0</v>
      </c>
      <c r="S1218" s="1"/>
      <c r="T1218" s="1">
        <v>1500602.0</v>
      </c>
      <c r="U1218" s="1" t="s">
        <v>5135</v>
      </c>
      <c r="V1218" s="1" t="s">
        <v>193</v>
      </c>
      <c r="W1218" s="1" t="s">
        <v>177</v>
      </c>
      <c r="X1218" s="1"/>
      <c r="Y1218" s="1" t="str">
        <f>"02001000103202047"</f>
        <v>02001000103202047</v>
      </c>
      <c r="Z1218" s="1" t="s">
        <v>147</v>
      </c>
      <c r="AA1218" s="1" t="s">
        <v>5149</v>
      </c>
      <c r="AB1218" s="1" t="str">
        <f>"***841291**"</f>
        <v>***841291**</v>
      </c>
      <c r="AC1218" s="1"/>
      <c r="AD1218" s="1"/>
      <c r="AE1218" s="1"/>
      <c r="AF1218" s="1">
        <v>-54.910557</v>
      </c>
      <c r="AG1218" s="1">
        <v>-7.759444</v>
      </c>
      <c r="AH1218" s="1" t="s">
        <v>5150</v>
      </c>
      <c r="AI1218" s="1"/>
      <c r="AJ1218" s="1" t="s">
        <v>172</v>
      </c>
      <c r="AK1218" s="1"/>
      <c r="AL1218" s="1" t="s">
        <v>79</v>
      </c>
      <c r="AM1218" s="1" t="s">
        <v>65</v>
      </c>
      <c r="AN1218" s="1" t="s">
        <v>1395</v>
      </c>
      <c r="AO1218" s="2">
        <v>44077.0</v>
      </c>
      <c r="AP1218" s="2">
        <v>44077.606875</v>
      </c>
      <c r="AQ1218" s="1" t="s">
        <v>80</v>
      </c>
      <c r="AR1218" s="1" t="s">
        <v>650</v>
      </c>
      <c r="AS1218" s="1" t="s">
        <v>5146</v>
      </c>
      <c r="AT1218" s="2">
        <v>44269.931099537</v>
      </c>
    </row>
    <row r="1219" ht="13.5" customHeight="1">
      <c r="A1219" s="1"/>
      <c r="B1219" s="1" t="s">
        <v>46</v>
      </c>
      <c r="C1219" s="1" t="s">
        <v>47</v>
      </c>
      <c r="D1219" s="1"/>
      <c r="E1219" s="1" t="s">
        <v>5151</v>
      </c>
      <c r="F1219" s="1"/>
      <c r="G1219" s="1"/>
      <c r="H1219" s="1" t="s">
        <v>93</v>
      </c>
      <c r="I1219" s="1">
        <v>45000.0</v>
      </c>
      <c r="J1219" s="1"/>
      <c r="K1219" s="1"/>
      <c r="L1219" s="1"/>
      <c r="M1219" s="1" t="s">
        <v>5152</v>
      </c>
      <c r="N1219" s="1" t="s">
        <v>142</v>
      </c>
      <c r="O1219" s="1" t="s">
        <v>143</v>
      </c>
      <c r="P1219" s="2">
        <v>43788.7471875</v>
      </c>
      <c r="Q1219" s="1" t="s">
        <v>373</v>
      </c>
      <c r="R1219" s="1"/>
      <c r="S1219" s="1"/>
      <c r="T1219" s="1">
        <v>1100338.0</v>
      </c>
      <c r="U1219" s="1" t="s">
        <v>5017</v>
      </c>
      <c r="V1219" s="1" t="s">
        <v>448</v>
      </c>
      <c r="W1219" s="1" t="s">
        <v>177</v>
      </c>
      <c r="X1219" s="1"/>
      <c r="Y1219" s="1"/>
      <c r="Z1219" s="1" t="s">
        <v>147</v>
      </c>
      <c r="AA1219" s="1" t="s">
        <v>5153</v>
      </c>
      <c r="AB1219" s="1" t="str">
        <f>"***962699**"</f>
        <v>***962699**</v>
      </c>
      <c r="AC1219" s="1"/>
      <c r="AD1219" s="1" t="s">
        <v>116</v>
      </c>
      <c r="AE1219" s="1"/>
      <c r="AF1219" s="1">
        <v>-65.001945</v>
      </c>
      <c r="AG1219" s="1">
        <v>-10.088056</v>
      </c>
      <c r="AH1219" s="1" t="s">
        <v>5154</v>
      </c>
      <c r="AI1219" s="1"/>
      <c r="AJ1219" s="1" t="s">
        <v>172</v>
      </c>
      <c r="AK1219" s="1"/>
      <c r="AL1219" s="1"/>
      <c r="AM1219" s="1" t="s">
        <v>65</v>
      </c>
      <c r="AN1219" s="1" t="s">
        <v>1395</v>
      </c>
      <c r="AO1219" s="1"/>
      <c r="AP1219" s="2">
        <v>43788.7766782407</v>
      </c>
      <c r="AQ1219" s="1"/>
      <c r="AR1219" s="1" t="s">
        <v>644</v>
      </c>
      <c r="AS1219" s="1" t="s">
        <v>5155</v>
      </c>
      <c r="AT1219" s="2">
        <v>44269.931099537</v>
      </c>
    </row>
    <row r="1220" ht="13.5" customHeight="1">
      <c r="A1220" s="1">
        <v>2037236.0</v>
      </c>
      <c r="B1220" s="1" t="s">
        <v>67</v>
      </c>
      <c r="C1220" s="1" t="s">
        <v>68</v>
      </c>
      <c r="D1220" s="1" t="s">
        <v>46</v>
      </c>
      <c r="E1220" s="1" t="s">
        <v>5156</v>
      </c>
      <c r="F1220" s="1"/>
      <c r="G1220" s="1" t="s">
        <v>70</v>
      </c>
      <c r="H1220" s="1" t="s">
        <v>50</v>
      </c>
      <c r="I1220" s="1">
        <v>337500.0</v>
      </c>
      <c r="J1220" s="1"/>
      <c r="K1220" s="1"/>
      <c r="L1220" s="1" t="s">
        <v>65</v>
      </c>
      <c r="M1220" s="1" t="s">
        <v>5157</v>
      </c>
      <c r="N1220" s="1" t="s">
        <v>142</v>
      </c>
      <c r="O1220" s="1" t="s">
        <v>143</v>
      </c>
      <c r="P1220" s="2">
        <v>43788.7083333333</v>
      </c>
      <c r="Q1220" s="1" t="s">
        <v>74</v>
      </c>
      <c r="R1220" s="1"/>
      <c r="S1220" s="1"/>
      <c r="T1220" s="1">
        <v>1506187.0</v>
      </c>
      <c r="U1220" s="1" t="s">
        <v>786</v>
      </c>
      <c r="V1220" s="1" t="s">
        <v>193</v>
      </c>
      <c r="W1220" s="1" t="s">
        <v>177</v>
      </c>
      <c r="X1220" s="1"/>
      <c r="Y1220" s="1" t="str">
        <f>"02047001216201908"</f>
        <v>02047001216201908</v>
      </c>
      <c r="Z1220" s="1" t="s">
        <v>147</v>
      </c>
      <c r="AA1220" s="1" t="s">
        <v>5158</v>
      </c>
      <c r="AB1220" s="1" t="str">
        <f>"***669791**"</f>
        <v>***669791**</v>
      </c>
      <c r="AC1220" s="1"/>
      <c r="AD1220" s="1" t="s">
        <v>116</v>
      </c>
      <c r="AE1220" s="1"/>
      <c r="AF1220" s="1">
        <v>-48.670833</v>
      </c>
      <c r="AG1220" s="1">
        <v>-4.189167</v>
      </c>
      <c r="AH1220" s="1" t="s">
        <v>5159</v>
      </c>
      <c r="AI1220" s="1"/>
      <c r="AJ1220" s="1" t="s">
        <v>172</v>
      </c>
      <c r="AK1220" s="1"/>
      <c r="AL1220" s="1" t="s">
        <v>118</v>
      </c>
      <c r="AM1220" s="1" t="s">
        <v>65</v>
      </c>
      <c r="AN1220" s="1" t="s">
        <v>1395</v>
      </c>
      <c r="AO1220" s="2">
        <v>43988.0</v>
      </c>
      <c r="AP1220" s="2">
        <v>43988.4408912037</v>
      </c>
      <c r="AQ1220" s="1" t="s">
        <v>80</v>
      </c>
      <c r="AR1220" s="1" t="s">
        <v>2310</v>
      </c>
      <c r="AS1220" s="1"/>
      <c r="AT1220" s="2">
        <v>44269.931099537</v>
      </c>
    </row>
    <row r="1221" ht="13.5" customHeight="1">
      <c r="A1221" s="1">
        <v>2038863.0</v>
      </c>
      <c r="B1221" s="1" t="s">
        <v>67</v>
      </c>
      <c r="C1221" s="1" t="s">
        <v>68</v>
      </c>
      <c r="D1221" s="1" t="s">
        <v>46</v>
      </c>
      <c r="E1221" s="1" t="s">
        <v>5160</v>
      </c>
      <c r="F1221" s="1"/>
      <c r="G1221" s="1" t="s">
        <v>70</v>
      </c>
      <c r="H1221" s="1" t="s">
        <v>93</v>
      </c>
      <c r="I1221" s="1">
        <v>135000.0</v>
      </c>
      <c r="J1221" s="1"/>
      <c r="K1221" s="1"/>
      <c r="L1221" s="1" t="s">
        <v>172</v>
      </c>
      <c r="M1221" s="1" t="s">
        <v>5161</v>
      </c>
      <c r="N1221" s="1" t="s">
        <v>142</v>
      </c>
      <c r="O1221" s="1" t="s">
        <v>143</v>
      </c>
      <c r="P1221" s="2">
        <v>43788.7083333333</v>
      </c>
      <c r="Q1221" s="1" t="s">
        <v>373</v>
      </c>
      <c r="R1221" s="3">
        <v>43788.0</v>
      </c>
      <c r="S1221" s="1"/>
      <c r="T1221" s="1">
        <v>1100338.0</v>
      </c>
      <c r="U1221" s="1" t="s">
        <v>5017</v>
      </c>
      <c r="V1221" s="1" t="s">
        <v>448</v>
      </c>
      <c r="W1221" s="1" t="s">
        <v>177</v>
      </c>
      <c r="X1221" s="1"/>
      <c r="Y1221" s="1"/>
      <c r="Z1221" s="1" t="s">
        <v>147</v>
      </c>
      <c r="AA1221" s="1" t="s">
        <v>5162</v>
      </c>
      <c r="AB1221" s="1" t="str">
        <f>"***833472**"</f>
        <v>***833472**</v>
      </c>
      <c r="AC1221" s="1"/>
      <c r="AD1221" s="1"/>
      <c r="AE1221" s="1"/>
      <c r="AF1221" s="1">
        <v>-65.004448</v>
      </c>
      <c r="AG1221" s="1">
        <v>-10.088333</v>
      </c>
      <c r="AH1221" s="1" t="s">
        <v>5163</v>
      </c>
      <c r="AI1221" s="1"/>
      <c r="AJ1221" s="1" t="s">
        <v>172</v>
      </c>
      <c r="AK1221" s="1"/>
      <c r="AL1221" s="1" t="s">
        <v>79</v>
      </c>
      <c r="AM1221" s="1" t="s">
        <v>65</v>
      </c>
      <c r="AN1221" s="1" t="s">
        <v>1395</v>
      </c>
      <c r="AO1221" s="2">
        <v>44047.0</v>
      </c>
      <c r="AP1221" s="2">
        <v>44047.3635416667</v>
      </c>
      <c r="AQ1221" s="1" t="s">
        <v>80</v>
      </c>
      <c r="AR1221" s="1" t="s">
        <v>451</v>
      </c>
      <c r="AS1221" s="1"/>
      <c r="AT1221" s="2">
        <v>44269.931099537</v>
      </c>
    </row>
    <row r="1222" ht="13.5" customHeight="1">
      <c r="A1222" s="1"/>
      <c r="B1222" s="1" t="s">
        <v>46</v>
      </c>
      <c r="C1222" s="1" t="s">
        <v>47</v>
      </c>
      <c r="D1222" s="1"/>
      <c r="E1222" s="1" t="s">
        <v>5164</v>
      </c>
      <c r="F1222" s="1"/>
      <c r="G1222" s="1"/>
      <c r="H1222" s="1" t="s">
        <v>93</v>
      </c>
      <c r="I1222" s="1">
        <v>5630.4</v>
      </c>
      <c r="J1222" s="1"/>
      <c r="K1222" s="1" t="s">
        <v>51</v>
      </c>
      <c r="L1222" s="1"/>
      <c r="M1222" s="1" t="s">
        <v>5165</v>
      </c>
      <c r="N1222" s="1" t="s">
        <v>142</v>
      </c>
      <c r="O1222" s="1" t="s">
        <v>143</v>
      </c>
      <c r="P1222" s="2">
        <v>43788.6996296296</v>
      </c>
      <c r="Q1222" s="1" t="s">
        <v>373</v>
      </c>
      <c r="R1222" s="1"/>
      <c r="S1222" s="1"/>
      <c r="T1222" s="1">
        <v>1400472.0</v>
      </c>
      <c r="U1222" s="1" t="s">
        <v>574</v>
      </c>
      <c r="V1222" s="1" t="s">
        <v>186</v>
      </c>
      <c r="W1222" s="1" t="s">
        <v>177</v>
      </c>
      <c r="X1222" s="1"/>
      <c r="Y1222" s="1"/>
      <c r="Z1222" s="1" t="s">
        <v>147</v>
      </c>
      <c r="AA1222" s="1" t="s">
        <v>5166</v>
      </c>
      <c r="AB1222" s="1" t="str">
        <f>"***067472**"</f>
        <v>***067472**</v>
      </c>
      <c r="AC1222" s="1"/>
      <c r="AD1222" s="1" t="s">
        <v>149</v>
      </c>
      <c r="AE1222" s="1"/>
      <c r="AF1222" s="1">
        <v>-60.434166</v>
      </c>
      <c r="AG1222" s="1">
        <v>0.945</v>
      </c>
      <c r="AH1222" s="1" t="s">
        <v>5167</v>
      </c>
      <c r="AI1222" s="1"/>
      <c r="AJ1222" s="1" t="s">
        <v>415</v>
      </c>
      <c r="AK1222" s="1"/>
      <c r="AL1222" s="1"/>
      <c r="AM1222" s="1" t="s">
        <v>65</v>
      </c>
      <c r="AN1222" s="1" t="s">
        <v>420</v>
      </c>
      <c r="AO1222" s="1"/>
      <c r="AP1222" s="2">
        <v>43789.4057291667</v>
      </c>
      <c r="AQ1222" s="1"/>
      <c r="AR1222" s="1" t="s">
        <v>280</v>
      </c>
      <c r="AS1222" s="1"/>
      <c r="AT1222" s="2">
        <v>44269.931099537</v>
      </c>
    </row>
    <row r="1223" ht="13.5" customHeight="1">
      <c r="A1223" s="1"/>
      <c r="B1223" s="1" t="s">
        <v>46</v>
      </c>
      <c r="C1223" s="1" t="s">
        <v>47</v>
      </c>
      <c r="D1223" s="1"/>
      <c r="E1223" s="1" t="s">
        <v>5168</v>
      </c>
      <c r="F1223" s="1"/>
      <c r="G1223" s="1" t="s">
        <v>49</v>
      </c>
      <c r="H1223" s="1" t="s">
        <v>93</v>
      </c>
      <c r="I1223" s="1">
        <v>2000.0</v>
      </c>
      <c r="J1223" s="1"/>
      <c r="K1223" s="1"/>
      <c r="L1223" s="1"/>
      <c r="M1223" s="1" t="s">
        <v>5169</v>
      </c>
      <c r="N1223" s="1" t="s">
        <v>142</v>
      </c>
      <c r="O1223" s="1" t="s">
        <v>143</v>
      </c>
      <c r="P1223" s="2">
        <v>43788.6988425926</v>
      </c>
      <c r="Q1223" s="1" t="s">
        <v>373</v>
      </c>
      <c r="R1223" s="1"/>
      <c r="S1223" s="1"/>
      <c r="T1223" s="1">
        <v>5205307.0</v>
      </c>
      <c r="U1223" s="1" t="s">
        <v>4790</v>
      </c>
      <c r="V1223" s="1" t="s">
        <v>375</v>
      </c>
      <c r="W1223" s="1" t="s">
        <v>127</v>
      </c>
      <c r="X1223" s="1"/>
      <c r="Y1223" s="1"/>
      <c r="Z1223" s="1" t="s">
        <v>147</v>
      </c>
      <c r="AA1223" s="1" t="s">
        <v>5170</v>
      </c>
      <c r="AB1223" s="1" t="str">
        <f>"***014961**"</f>
        <v>***014961**</v>
      </c>
      <c r="AC1223" s="1"/>
      <c r="AD1223" s="1" t="s">
        <v>62</v>
      </c>
      <c r="AE1223" s="1"/>
      <c r="AF1223" s="1">
        <v>-47.850277</v>
      </c>
      <c r="AG1223" s="1">
        <v>-13.841944</v>
      </c>
      <c r="AH1223" s="1" t="s">
        <v>5171</v>
      </c>
      <c r="AI1223" s="1"/>
      <c r="AJ1223" s="1" t="s">
        <v>371</v>
      </c>
      <c r="AK1223" s="1"/>
      <c r="AL1223" s="1"/>
      <c r="AM1223" s="1" t="s">
        <v>65</v>
      </c>
      <c r="AN1223" s="1" t="s">
        <v>3712</v>
      </c>
      <c r="AO1223" s="1"/>
      <c r="AP1223" s="2">
        <v>43788.7139583333</v>
      </c>
      <c r="AQ1223" s="1"/>
      <c r="AR1223" s="1" t="s">
        <v>2843</v>
      </c>
      <c r="AS1223" s="1"/>
      <c r="AT1223" s="2">
        <v>44269.931099537</v>
      </c>
    </row>
    <row r="1224" ht="13.5" customHeight="1">
      <c r="A1224" s="1"/>
      <c r="B1224" s="1" t="s">
        <v>46</v>
      </c>
      <c r="C1224" s="1" t="s">
        <v>47</v>
      </c>
      <c r="D1224" s="1"/>
      <c r="E1224" s="1" t="s">
        <v>5172</v>
      </c>
      <c r="F1224" s="1"/>
      <c r="G1224" s="1" t="s">
        <v>49</v>
      </c>
      <c r="H1224" s="1" t="s">
        <v>93</v>
      </c>
      <c r="I1224" s="1">
        <v>1000.0</v>
      </c>
      <c r="J1224" s="1"/>
      <c r="K1224" s="1" t="s">
        <v>51</v>
      </c>
      <c r="L1224" s="1"/>
      <c r="M1224" s="1" t="s">
        <v>5173</v>
      </c>
      <c r="N1224" s="1" t="s">
        <v>108</v>
      </c>
      <c r="O1224" s="1" t="s">
        <v>109</v>
      </c>
      <c r="P1224" s="2">
        <v>43788.6871875</v>
      </c>
      <c r="Q1224" s="1" t="s">
        <v>74</v>
      </c>
      <c r="R1224" s="3">
        <v>43788.0</v>
      </c>
      <c r="S1224" s="1"/>
      <c r="T1224" s="1">
        <v>3509502.0</v>
      </c>
      <c r="U1224" s="1" t="s">
        <v>97</v>
      </c>
      <c r="V1224" s="1" t="s">
        <v>58</v>
      </c>
      <c r="W1224" s="1" t="s">
        <v>59</v>
      </c>
      <c r="X1224" s="1"/>
      <c r="Y1224" s="1"/>
      <c r="Z1224" s="1" t="s">
        <v>226</v>
      </c>
      <c r="AA1224" s="1" t="s">
        <v>5174</v>
      </c>
      <c r="AB1224" s="1" t="str">
        <f>"26750473000108"</f>
        <v>26750473000108</v>
      </c>
      <c r="AC1224" s="1"/>
      <c r="AD1224" s="1" t="s">
        <v>62</v>
      </c>
      <c r="AE1224" s="1"/>
      <c r="AF1224" s="1">
        <v>-47.144169</v>
      </c>
      <c r="AG1224" s="1">
        <v>-23.007778</v>
      </c>
      <c r="AH1224" s="1" t="s">
        <v>5175</v>
      </c>
      <c r="AI1224" s="1"/>
      <c r="AJ1224" s="1" t="s">
        <v>101</v>
      </c>
      <c r="AK1224" s="1"/>
      <c r="AL1224" s="1"/>
      <c r="AM1224" s="1" t="s">
        <v>65</v>
      </c>
      <c r="AN1224" s="1" t="s">
        <v>102</v>
      </c>
      <c r="AO1224" s="1"/>
      <c r="AP1224" s="2">
        <v>43788.6991666667</v>
      </c>
      <c r="AQ1224" s="1"/>
      <c r="AR1224" s="1" t="s">
        <v>899</v>
      </c>
      <c r="AS1224" s="1"/>
      <c r="AT1224" s="2">
        <v>44269.931099537</v>
      </c>
    </row>
    <row r="1225" ht="13.5" customHeight="1">
      <c r="A1225" s="1"/>
      <c r="B1225" s="1" t="s">
        <v>46</v>
      </c>
      <c r="C1225" s="1" t="s">
        <v>47</v>
      </c>
      <c r="D1225" s="1"/>
      <c r="E1225" s="1" t="s">
        <v>5176</v>
      </c>
      <c r="F1225" s="1"/>
      <c r="G1225" s="1" t="s">
        <v>49</v>
      </c>
      <c r="H1225" s="1" t="s">
        <v>93</v>
      </c>
      <c r="I1225" s="1">
        <v>1200.0</v>
      </c>
      <c r="J1225" s="1"/>
      <c r="K1225" s="1" t="s">
        <v>51</v>
      </c>
      <c r="L1225" s="1"/>
      <c r="M1225" s="1" t="s">
        <v>5177</v>
      </c>
      <c r="N1225" s="1" t="s">
        <v>108</v>
      </c>
      <c r="O1225" s="1" t="s">
        <v>109</v>
      </c>
      <c r="P1225" s="2">
        <v>43788.6751851852</v>
      </c>
      <c r="Q1225" s="1" t="s">
        <v>74</v>
      </c>
      <c r="R1225" s="3">
        <v>43788.0</v>
      </c>
      <c r="S1225" s="1"/>
      <c r="T1225" s="1">
        <v>3509502.0</v>
      </c>
      <c r="U1225" s="1" t="s">
        <v>97</v>
      </c>
      <c r="V1225" s="1" t="s">
        <v>58</v>
      </c>
      <c r="W1225" s="1" t="s">
        <v>59</v>
      </c>
      <c r="X1225" s="1"/>
      <c r="Y1225" s="1"/>
      <c r="Z1225" s="1" t="s">
        <v>226</v>
      </c>
      <c r="AA1225" s="1" t="s">
        <v>5178</v>
      </c>
      <c r="AB1225" s="1" t="str">
        <f>"44676633000190"</f>
        <v>44676633000190</v>
      </c>
      <c r="AC1225" s="1"/>
      <c r="AD1225" s="1" t="s">
        <v>62</v>
      </c>
      <c r="AE1225" s="1"/>
      <c r="AF1225" s="1">
        <v>-47.144169</v>
      </c>
      <c r="AG1225" s="1">
        <v>-23.007778</v>
      </c>
      <c r="AH1225" s="1" t="s">
        <v>5175</v>
      </c>
      <c r="AI1225" s="1"/>
      <c r="AJ1225" s="1" t="s">
        <v>101</v>
      </c>
      <c r="AK1225" s="1"/>
      <c r="AL1225" s="1"/>
      <c r="AM1225" s="1" t="s">
        <v>65</v>
      </c>
      <c r="AN1225" s="1" t="s">
        <v>102</v>
      </c>
      <c r="AO1225" s="1"/>
      <c r="AP1225" s="2">
        <v>43788.6818865741</v>
      </c>
      <c r="AQ1225" s="1"/>
      <c r="AR1225" s="1" t="s">
        <v>899</v>
      </c>
      <c r="AS1225" s="1"/>
      <c r="AT1225" s="2">
        <v>44269.931099537</v>
      </c>
    </row>
    <row r="1226" ht="13.5" customHeight="1">
      <c r="A1226" s="1"/>
      <c r="B1226" s="1" t="s">
        <v>46</v>
      </c>
      <c r="C1226" s="1" t="s">
        <v>47</v>
      </c>
      <c r="D1226" s="1"/>
      <c r="E1226" s="1" t="s">
        <v>5179</v>
      </c>
      <c r="F1226" s="1"/>
      <c r="G1226" s="1" t="s">
        <v>49</v>
      </c>
      <c r="H1226" s="1" t="s">
        <v>93</v>
      </c>
      <c r="I1226" s="1">
        <v>1200.0</v>
      </c>
      <c r="J1226" s="1"/>
      <c r="K1226" s="1" t="s">
        <v>51</v>
      </c>
      <c r="L1226" s="1"/>
      <c r="M1226" s="1" t="s">
        <v>5173</v>
      </c>
      <c r="N1226" s="1" t="s">
        <v>108</v>
      </c>
      <c r="O1226" s="1" t="s">
        <v>109</v>
      </c>
      <c r="P1226" s="2">
        <v>43788.6543865741</v>
      </c>
      <c r="Q1226" s="1" t="s">
        <v>74</v>
      </c>
      <c r="R1226" s="3">
        <v>43788.0</v>
      </c>
      <c r="S1226" s="1"/>
      <c r="T1226" s="1">
        <v>3509502.0</v>
      </c>
      <c r="U1226" s="1" t="s">
        <v>97</v>
      </c>
      <c r="V1226" s="1" t="s">
        <v>58</v>
      </c>
      <c r="W1226" s="1" t="s">
        <v>59</v>
      </c>
      <c r="X1226" s="1"/>
      <c r="Y1226" s="1"/>
      <c r="Z1226" s="1" t="s">
        <v>226</v>
      </c>
      <c r="AA1226" s="1" t="s">
        <v>5180</v>
      </c>
      <c r="AB1226" s="1" t="str">
        <f>"17271010000164"</f>
        <v>17271010000164</v>
      </c>
      <c r="AC1226" s="1"/>
      <c r="AD1226" s="1" t="s">
        <v>62</v>
      </c>
      <c r="AE1226" s="1"/>
      <c r="AF1226" s="1">
        <v>-47.144169</v>
      </c>
      <c r="AG1226" s="1">
        <v>-23.007778</v>
      </c>
      <c r="AH1226" s="1" t="s">
        <v>5175</v>
      </c>
      <c r="AI1226" s="1"/>
      <c r="AJ1226" s="1" t="s">
        <v>101</v>
      </c>
      <c r="AK1226" s="1"/>
      <c r="AL1226" s="1"/>
      <c r="AM1226" s="1" t="s">
        <v>65</v>
      </c>
      <c r="AN1226" s="1" t="s">
        <v>102</v>
      </c>
      <c r="AO1226" s="1"/>
      <c r="AP1226" s="2">
        <v>43788.6631365741</v>
      </c>
      <c r="AQ1226" s="1"/>
      <c r="AR1226" s="1" t="s">
        <v>899</v>
      </c>
      <c r="AS1226" s="1"/>
      <c r="AT1226" s="2">
        <v>44269.931099537</v>
      </c>
    </row>
    <row r="1227" ht="13.5" customHeight="1">
      <c r="A1227" s="1"/>
      <c r="B1227" s="1" t="s">
        <v>46</v>
      </c>
      <c r="C1227" s="1" t="s">
        <v>47</v>
      </c>
      <c r="D1227" s="1"/>
      <c r="E1227" s="1" t="s">
        <v>5181</v>
      </c>
      <c r="F1227" s="1"/>
      <c r="G1227" s="1" t="s">
        <v>49</v>
      </c>
      <c r="H1227" s="1" t="s">
        <v>93</v>
      </c>
      <c r="I1227" s="1">
        <v>45725.0</v>
      </c>
      <c r="J1227" s="1"/>
      <c r="K1227" s="1"/>
      <c r="L1227" s="1"/>
      <c r="M1227" s="1" t="s">
        <v>5182</v>
      </c>
      <c r="N1227" s="1" t="s">
        <v>142</v>
      </c>
      <c r="O1227" s="1" t="s">
        <v>143</v>
      </c>
      <c r="P1227" s="2">
        <v>43788.6397222222</v>
      </c>
      <c r="Q1227" s="1" t="s">
        <v>74</v>
      </c>
      <c r="R1227" s="1"/>
      <c r="S1227" s="1"/>
      <c r="T1227" s="1">
        <v>1505650.0</v>
      </c>
      <c r="U1227" s="1" t="s">
        <v>4508</v>
      </c>
      <c r="V1227" s="1" t="s">
        <v>193</v>
      </c>
      <c r="W1227" s="1" t="s">
        <v>177</v>
      </c>
      <c r="X1227" s="1"/>
      <c r="Y1227" s="1"/>
      <c r="Z1227" s="1" t="s">
        <v>147</v>
      </c>
      <c r="AA1227" s="1" t="s">
        <v>5183</v>
      </c>
      <c r="AB1227" s="1" t="str">
        <f>"***054572**"</f>
        <v>***054572**</v>
      </c>
      <c r="AC1227" s="1"/>
      <c r="AD1227" s="1" t="s">
        <v>116</v>
      </c>
      <c r="AE1227" s="1"/>
      <c r="AF1227" s="1">
        <v>-46.06889</v>
      </c>
      <c r="AG1227" s="1">
        <v>-3.767778</v>
      </c>
      <c r="AH1227" s="1" t="s">
        <v>5184</v>
      </c>
      <c r="AI1227" s="1"/>
      <c r="AJ1227" s="1" t="s">
        <v>172</v>
      </c>
      <c r="AK1227" s="1"/>
      <c r="AL1227" s="1"/>
      <c r="AM1227" s="1" t="s">
        <v>65</v>
      </c>
      <c r="AN1227" s="1" t="s">
        <v>3580</v>
      </c>
      <c r="AO1227" s="1"/>
      <c r="AP1227" s="2">
        <v>43794.3754976852</v>
      </c>
      <c r="AQ1227" s="1"/>
      <c r="AR1227" s="1" t="s">
        <v>3150</v>
      </c>
      <c r="AS1227" s="1"/>
      <c r="AT1227" s="2">
        <v>44269.931099537</v>
      </c>
    </row>
    <row r="1228" ht="13.5" customHeight="1">
      <c r="A1228" s="1"/>
      <c r="B1228" s="1" t="s">
        <v>46</v>
      </c>
      <c r="C1228" s="1" t="s">
        <v>47</v>
      </c>
      <c r="D1228" s="1"/>
      <c r="E1228" s="1" t="s">
        <v>5185</v>
      </c>
      <c r="F1228" s="1"/>
      <c r="G1228" s="1"/>
      <c r="H1228" s="1" t="s">
        <v>93</v>
      </c>
      <c r="I1228" s="1">
        <v>15490.8</v>
      </c>
      <c r="J1228" s="1"/>
      <c r="K1228" s="1"/>
      <c r="L1228" s="1"/>
      <c r="M1228" s="1" t="s">
        <v>5186</v>
      </c>
      <c r="N1228" s="1" t="s">
        <v>142</v>
      </c>
      <c r="O1228" s="1" t="s">
        <v>143</v>
      </c>
      <c r="P1228" s="2">
        <v>43788.6362384259</v>
      </c>
      <c r="Q1228" s="1" t="s">
        <v>55</v>
      </c>
      <c r="R1228" s="1"/>
      <c r="S1228" s="1"/>
      <c r="T1228" s="1">
        <v>5105580.0</v>
      </c>
      <c r="U1228" s="1" t="s">
        <v>5187</v>
      </c>
      <c r="V1228" s="1" t="s">
        <v>164</v>
      </c>
      <c r="W1228" s="1" t="s">
        <v>177</v>
      </c>
      <c r="X1228" s="1"/>
      <c r="Y1228" s="1"/>
      <c r="Z1228" s="1" t="s">
        <v>147</v>
      </c>
      <c r="AA1228" s="1" t="s">
        <v>5188</v>
      </c>
      <c r="AB1228" s="1" t="str">
        <f>"***555301**"</f>
        <v>***555301**</v>
      </c>
      <c r="AC1228" s="1"/>
      <c r="AD1228" s="1" t="s">
        <v>62</v>
      </c>
      <c r="AE1228" s="1"/>
      <c r="AF1228" s="1">
        <v>-53.955555</v>
      </c>
      <c r="AG1228" s="1">
        <v>-10.825</v>
      </c>
      <c r="AH1228" s="1" t="s">
        <v>5189</v>
      </c>
      <c r="AI1228" s="1"/>
      <c r="AJ1228" s="1" t="s">
        <v>172</v>
      </c>
      <c r="AK1228" s="1"/>
      <c r="AL1228" s="1"/>
      <c r="AM1228" s="1" t="s">
        <v>65</v>
      </c>
      <c r="AN1228" s="1" t="s">
        <v>180</v>
      </c>
      <c r="AO1228" s="1"/>
      <c r="AP1228" s="2">
        <v>43788.7156018519</v>
      </c>
      <c r="AQ1228" s="1"/>
      <c r="AR1228" s="1" t="s">
        <v>280</v>
      </c>
      <c r="AS1228" s="1"/>
      <c r="AT1228" s="2">
        <v>44269.931099537</v>
      </c>
    </row>
    <row r="1229" ht="13.5" customHeight="1">
      <c r="A1229" s="1">
        <v>2035055.0</v>
      </c>
      <c r="B1229" s="1" t="s">
        <v>67</v>
      </c>
      <c r="C1229" s="1" t="s">
        <v>68</v>
      </c>
      <c r="D1229" s="1" t="s">
        <v>46</v>
      </c>
      <c r="E1229" s="1" t="s">
        <v>5190</v>
      </c>
      <c r="F1229" s="1"/>
      <c r="G1229" s="1" t="s">
        <v>70</v>
      </c>
      <c r="H1229" s="1" t="s">
        <v>93</v>
      </c>
      <c r="I1229" s="1">
        <v>5977500.0</v>
      </c>
      <c r="J1229" s="1"/>
      <c r="K1229" s="1"/>
      <c r="L1229" s="1" t="s">
        <v>172</v>
      </c>
      <c r="M1229" s="1" t="s">
        <v>5191</v>
      </c>
      <c r="N1229" s="1" t="s">
        <v>142</v>
      </c>
      <c r="O1229" s="1" t="s">
        <v>143</v>
      </c>
      <c r="P1229" s="2">
        <v>43788.625</v>
      </c>
      <c r="Q1229" s="1" t="s">
        <v>74</v>
      </c>
      <c r="R1229" s="3">
        <v>43789.0</v>
      </c>
      <c r="S1229" s="1"/>
      <c r="T1229" s="1">
        <v>1302405.0</v>
      </c>
      <c r="U1229" s="1" t="s">
        <v>2258</v>
      </c>
      <c r="V1229" s="1" t="s">
        <v>486</v>
      </c>
      <c r="W1229" s="1" t="s">
        <v>177</v>
      </c>
      <c r="X1229" s="1"/>
      <c r="Y1229" s="1"/>
      <c r="Z1229" s="1" t="s">
        <v>147</v>
      </c>
      <c r="AA1229" s="1" t="s">
        <v>5192</v>
      </c>
      <c r="AB1229" s="1" t="str">
        <f>"***913252**"</f>
        <v>***913252**</v>
      </c>
      <c r="AC1229" s="1"/>
      <c r="AD1229" s="1"/>
      <c r="AE1229" s="1"/>
      <c r="AF1229" s="1">
        <v>-66.997498</v>
      </c>
      <c r="AG1229" s="1">
        <v>-8.675556</v>
      </c>
      <c r="AH1229" s="1" t="s">
        <v>5193</v>
      </c>
      <c r="AI1229" s="1"/>
      <c r="AJ1229" s="1" t="s">
        <v>172</v>
      </c>
      <c r="AK1229" s="1"/>
      <c r="AL1229" s="1" t="s">
        <v>79</v>
      </c>
      <c r="AM1229" s="1" t="s">
        <v>65</v>
      </c>
      <c r="AN1229" s="1" t="s">
        <v>1395</v>
      </c>
      <c r="AO1229" s="2">
        <v>43894.0</v>
      </c>
      <c r="AP1229" s="2">
        <v>43894.4547916667</v>
      </c>
      <c r="AQ1229" s="1" t="s">
        <v>80</v>
      </c>
      <c r="AR1229" s="1" t="s">
        <v>421</v>
      </c>
      <c r="AS1229" s="1" t="s">
        <v>5146</v>
      </c>
      <c r="AT1229" s="2">
        <v>44269.931099537</v>
      </c>
    </row>
    <row r="1230" ht="13.5" customHeight="1">
      <c r="A1230" s="1"/>
      <c r="B1230" s="1" t="s">
        <v>46</v>
      </c>
      <c r="C1230" s="1" t="s">
        <v>47</v>
      </c>
      <c r="D1230" s="1"/>
      <c r="E1230" s="1" t="s">
        <v>5194</v>
      </c>
      <c r="F1230" s="1"/>
      <c r="G1230" s="1" t="s">
        <v>49</v>
      </c>
      <c r="H1230" s="1" t="s">
        <v>50</v>
      </c>
      <c r="I1230" s="1">
        <v>2212.8</v>
      </c>
      <c r="J1230" s="1"/>
      <c r="K1230" s="1" t="s">
        <v>51</v>
      </c>
      <c r="L1230" s="1"/>
      <c r="M1230" s="1" t="s">
        <v>5195</v>
      </c>
      <c r="N1230" s="1" t="s">
        <v>142</v>
      </c>
      <c r="O1230" s="1" t="s">
        <v>143</v>
      </c>
      <c r="P1230" s="2">
        <v>43788.6094675926</v>
      </c>
      <c r="Q1230" s="1" t="s">
        <v>74</v>
      </c>
      <c r="R1230" s="3">
        <v>43788.0</v>
      </c>
      <c r="S1230" s="1"/>
      <c r="T1230" s="1">
        <v>2207702.0</v>
      </c>
      <c r="U1230" s="1" t="s">
        <v>1190</v>
      </c>
      <c r="V1230" s="1" t="s">
        <v>895</v>
      </c>
      <c r="W1230" s="1" t="s">
        <v>127</v>
      </c>
      <c r="X1230" s="1"/>
      <c r="Y1230" s="1"/>
      <c r="Z1230" s="1" t="s">
        <v>147</v>
      </c>
      <c r="AA1230" s="1" t="s">
        <v>5196</v>
      </c>
      <c r="AB1230" s="1" t="str">
        <f>"00166889000181"</f>
        <v>00166889000181</v>
      </c>
      <c r="AC1230" s="1"/>
      <c r="AD1230" s="1" t="s">
        <v>149</v>
      </c>
      <c r="AE1230" s="1"/>
      <c r="AF1230" s="1">
        <v>-41.77861</v>
      </c>
      <c r="AG1230" s="1">
        <v>-2.896667</v>
      </c>
      <c r="AH1230" s="1" t="s">
        <v>5197</v>
      </c>
      <c r="AI1230" s="1"/>
      <c r="AJ1230" s="1" t="s">
        <v>898</v>
      </c>
      <c r="AK1230" s="1"/>
      <c r="AL1230" s="1"/>
      <c r="AM1230" s="1" t="s">
        <v>65</v>
      </c>
      <c r="AN1230" s="1" t="s">
        <v>152</v>
      </c>
      <c r="AO1230" s="1"/>
      <c r="AP1230" s="2">
        <v>44050.7608796296</v>
      </c>
      <c r="AQ1230" s="1"/>
      <c r="AR1230" s="1" t="s">
        <v>4956</v>
      </c>
      <c r="AS1230" s="1"/>
      <c r="AT1230" s="2">
        <v>44269.931099537</v>
      </c>
    </row>
    <row r="1231" ht="13.5" customHeight="1">
      <c r="A1231" s="1">
        <v>2038100.0</v>
      </c>
      <c r="B1231" s="1" t="s">
        <v>67</v>
      </c>
      <c r="C1231" s="1" t="s">
        <v>68</v>
      </c>
      <c r="D1231" s="1" t="s">
        <v>46</v>
      </c>
      <c r="E1231" s="1" t="s">
        <v>5198</v>
      </c>
      <c r="F1231" s="1"/>
      <c r="G1231" s="1" t="s">
        <v>70</v>
      </c>
      <c r="H1231" s="1" t="s">
        <v>50</v>
      </c>
      <c r="I1231" s="1">
        <v>14769.9</v>
      </c>
      <c r="J1231" s="1"/>
      <c r="K1231" s="1"/>
      <c r="L1231" s="1" t="s">
        <v>898</v>
      </c>
      <c r="M1231" s="1" t="s">
        <v>5199</v>
      </c>
      <c r="N1231" s="1" t="s">
        <v>142</v>
      </c>
      <c r="O1231" s="1" t="s">
        <v>143</v>
      </c>
      <c r="P1231" s="2">
        <v>43788.5833333333</v>
      </c>
      <c r="Q1231" s="1" t="s">
        <v>74</v>
      </c>
      <c r="R1231" s="3">
        <v>43787.0</v>
      </c>
      <c r="S1231" s="1"/>
      <c r="T1231" s="1">
        <v>2207702.0</v>
      </c>
      <c r="U1231" s="1" t="s">
        <v>1190</v>
      </c>
      <c r="V1231" s="1" t="s">
        <v>895</v>
      </c>
      <c r="W1231" s="1" t="s">
        <v>113</v>
      </c>
      <c r="X1231" s="1"/>
      <c r="Y1231" s="1" t="str">
        <f>"02020000256202066"</f>
        <v>02020000256202066</v>
      </c>
      <c r="Z1231" s="1" t="s">
        <v>147</v>
      </c>
      <c r="AA1231" s="1" t="s">
        <v>5200</v>
      </c>
      <c r="AB1231" s="1" t="str">
        <f>"22014809000105"</f>
        <v>22014809000105</v>
      </c>
      <c r="AC1231" s="1"/>
      <c r="AD1231" s="1"/>
      <c r="AE1231" s="1"/>
      <c r="AF1231" s="1">
        <v>-41.77861</v>
      </c>
      <c r="AG1231" s="1">
        <v>-2.896667</v>
      </c>
      <c r="AH1231" s="1" t="s">
        <v>5201</v>
      </c>
      <c r="AI1231" s="1"/>
      <c r="AJ1231" s="1" t="s">
        <v>898</v>
      </c>
      <c r="AK1231" s="1"/>
      <c r="AL1231" s="1" t="s">
        <v>79</v>
      </c>
      <c r="AM1231" s="1" t="s">
        <v>65</v>
      </c>
      <c r="AN1231" s="1" t="s">
        <v>152</v>
      </c>
      <c r="AO1231" s="2">
        <v>44021.0</v>
      </c>
      <c r="AP1231" s="2">
        <v>44021.6648148148</v>
      </c>
      <c r="AQ1231" s="1" t="s">
        <v>80</v>
      </c>
      <c r="AR1231" s="1" t="s">
        <v>81</v>
      </c>
      <c r="AS1231" s="1"/>
      <c r="AT1231" s="2">
        <v>44269.931099537</v>
      </c>
    </row>
    <row r="1232" ht="13.5" customHeight="1">
      <c r="A1232" s="1">
        <v>2038829.0</v>
      </c>
      <c r="B1232" s="1" t="s">
        <v>67</v>
      </c>
      <c r="C1232" s="1" t="s">
        <v>68</v>
      </c>
      <c r="D1232" s="1" t="s">
        <v>46</v>
      </c>
      <c r="E1232" s="1" t="s">
        <v>5202</v>
      </c>
      <c r="F1232" s="1"/>
      <c r="G1232" s="1" t="s">
        <v>70</v>
      </c>
      <c r="H1232" s="1" t="s">
        <v>93</v>
      </c>
      <c r="I1232" s="1">
        <v>10000.0</v>
      </c>
      <c r="J1232" s="1"/>
      <c r="K1232" s="1"/>
      <c r="L1232" s="1" t="s">
        <v>1040</v>
      </c>
      <c r="M1232" s="1" t="s">
        <v>5203</v>
      </c>
      <c r="N1232" s="1" t="s">
        <v>283</v>
      </c>
      <c r="O1232" s="1" t="s">
        <v>1364</v>
      </c>
      <c r="P1232" s="2">
        <v>43788.5833333333</v>
      </c>
      <c r="Q1232" s="1" t="s">
        <v>55</v>
      </c>
      <c r="R1232" s="1"/>
      <c r="S1232" s="1"/>
      <c r="T1232" s="1">
        <v>2607307.0</v>
      </c>
      <c r="U1232" s="1" t="s">
        <v>5204</v>
      </c>
      <c r="V1232" s="1" t="s">
        <v>1037</v>
      </c>
      <c r="W1232" s="1" t="s">
        <v>113</v>
      </c>
      <c r="X1232" s="1"/>
      <c r="Y1232" s="1" t="str">
        <f>"02019001763202056"</f>
        <v>02019001763202056</v>
      </c>
      <c r="Z1232" s="1" t="s">
        <v>128</v>
      </c>
      <c r="AA1232" s="1" t="s">
        <v>5205</v>
      </c>
      <c r="AB1232" s="1" t="str">
        <f>"05846618000190"</f>
        <v>05846618000190</v>
      </c>
      <c r="AC1232" s="1"/>
      <c r="AD1232" s="1"/>
      <c r="AE1232" s="1"/>
      <c r="AF1232" s="1">
        <v>-40.23</v>
      </c>
      <c r="AG1232" s="1">
        <v>-7.722222</v>
      </c>
      <c r="AH1232" s="1" t="s">
        <v>5206</v>
      </c>
      <c r="AI1232" s="1"/>
      <c r="AJ1232" s="1" t="s">
        <v>1040</v>
      </c>
      <c r="AK1232" s="1"/>
      <c r="AL1232" s="1" t="s">
        <v>79</v>
      </c>
      <c r="AM1232" s="1" t="s">
        <v>65</v>
      </c>
      <c r="AN1232" s="1" t="s">
        <v>5207</v>
      </c>
      <c r="AO1232" s="2">
        <v>44047.0</v>
      </c>
      <c r="AP1232" s="2">
        <v>44047.3442013889</v>
      </c>
      <c r="AQ1232" s="1" t="s">
        <v>80</v>
      </c>
      <c r="AR1232" s="1" t="s">
        <v>1607</v>
      </c>
      <c r="AS1232" s="1"/>
      <c r="AT1232" s="2">
        <v>44269.931099537</v>
      </c>
    </row>
    <row r="1233" ht="13.5" customHeight="1">
      <c r="A1233" s="1">
        <v>2044314.0</v>
      </c>
      <c r="B1233" s="1" t="s">
        <v>67</v>
      </c>
      <c r="C1233" s="1" t="s">
        <v>68</v>
      </c>
      <c r="D1233" s="1" t="s">
        <v>46</v>
      </c>
      <c r="E1233" s="1" t="s">
        <v>5208</v>
      </c>
      <c r="F1233" s="1"/>
      <c r="G1233" s="1" t="s">
        <v>70</v>
      </c>
      <c r="H1233" s="1" t="s">
        <v>50</v>
      </c>
      <c r="I1233" s="1">
        <v>1500.0</v>
      </c>
      <c r="J1233" s="1"/>
      <c r="K1233" s="1"/>
      <c r="L1233" s="1" t="s">
        <v>800</v>
      </c>
      <c r="M1233" s="1" t="s">
        <v>5209</v>
      </c>
      <c r="N1233" s="1" t="s">
        <v>72</v>
      </c>
      <c r="O1233" s="1" t="s">
        <v>73</v>
      </c>
      <c r="P1233" s="2">
        <v>43788.5833333333</v>
      </c>
      <c r="Q1233" s="1" t="s">
        <v>74</v>
      </c>
      <c r="R1233" s="3">
        <v>43790.0</v>
      </c>
      <c r="S1233" s="1"/>
      <c r="T1233" s="1">
        <v>1600709.0</v>
      </c>
      <c r="U1233" s="1" t="s">
        <v>2174</v>
      </c>
      <c r="V1233" s="1" t="s">
        <v>797</v>
      </c>
      <c r="W1233" s="1" t="s">
        <v>177</v>
      </c>
      <c r="X1233" s="1"/>
      <c r="Y1233" s="1"/>
      <c r="Z1233" s="1" t="s">
        <v>76</v>
      </c>
      <c r="AA1233" s="1" t="s">
        <v>5210</v>
      </c>
      <c r="AB1233" s="1" t="str">
        <f>"***706682**"</f>
        <v>***706682**</v>
      </c>
      <c r="AC1233" s="1"/>
      <c r="AD1233" s="1"/>
      <c r="AE1233" s="1"/>
      <c r="AF1233" s="1">
        <v>-51.250832</v>
      </c>
      <c r="AG1233" s="1">
        <v>1.253611</v>
      </c>
      <c r="AH1233" s="1" t="s">
        <v>5211</v>
      </c>
      <c r="AI1233" s="1"/>
      <c r="AJ1233" s="1" t="s">
        <v>800</v>
      </c>
      <c r="AK1233" s="1"/>
      <c r="AL1233" s="1" t="s">
        <v>79</v>
      </c>
      <c r="AM1233" s="1" t="s">
        <v>65</v>
      </c>
      <c r="AN1233" s="1" t="s">
        <v>4722</v>
      </c>
      <c r="AO1233" s="2">
        <v>44267.0</v>
      </c>
      <c r="AP1233" s="2">
        <v>44267.7308449074</v>
      </c>
      <c r="AQ1233" s="1" t="s">
        <v>80</v>
      </c>
      <c r="AR1233" s="1" t="s">
        <v>81</v>
      </c>
      <c r="AS1233" s="1"/>
      <c r="AT1233" s="2">
        <v>44269.931099537</v>
      </c>
    </row>
    <row r="1234" ht="13.5" customHeight="1">
      <c r="A1234" s="1"/>
      <c r="B1234" s="1" t="s">
        <v>46</v>
      </c>
      <c r="C1234" s="1" t="s">
        <v>47</v>
      </c>
      <c r="D1234" s="1"/>
      <c r="E1234" s="1" t="s">
        <v>5212</v>
      </c>
      <c r="F1234" s="1"/>
      <c r="G1234" s="1"/>
      <c r="H1234" s="1" t="s">
        <v>93</v>
      </c>
      <c r="I1234" s="1">
        <v>2655.0</v>
      </c>
      <c r="J1234" s="1"/>
      <c r="K1234" s="1" t="s">
        <v>51</v>
      </c>
      <c r="L1234" s="1"/>
      <c r="M1234" s="1" t="s">
        <v>5213</v>
      </c>
      <c r="N1234" s="1" t="s">
        <v>142</v>
      </c>
      <c r="O1234" s="1" t="s">
        <v>143</v>
      </c>
      <c r="P1234" s="2">
        <v>43788.5617013889</v>
      </c>
      <c r="Q1234" s="1" t="s">
        <v>74</v>
      </c>
      <c r="R1234" s="3">
        <v>43788.0</v>
      </c>
      <c r="S1234" s="1"/>
      <c r="T1234" s="1">
        <v>2202083.0</v>
      </c>
      <c r="U1234" s="1" t="s">
        <v>5214</v>
      </c>
      <c r="V1234" s="1" t="s">
        <v>895</v>
      </c>
      <c r="W1234" s="1" t="s">
        <v>113</v>
      </c>
      <c r="X1234" s="1"/>
      <c r="Y1234" s="1"/>
      <c r="Z1234" s="1" t="s">
        <v>147</v>
      </c>
      <c r="AA1234" s="1" t="s">
        <v>5215</v>
      </c>
      <c r="AB1234" s="1" t="str">
        <f>"04354503000116"</f>
        <v>04354503000116</v>
      </c>
      <c r="AC1234" s="1"/>
      <c r="AD1234" s="1" t="s">
        <v>149</v>
      </c>
      <c r="AE1234" s="1"/>
      <c r="AF1234" s="1">
        <v>-41.77861</v>
      </c>
      <c r="AG1234" s="1">
        <v>-2.896667</v>
      </c>
      <c r="AH1234" s="1" t="s">
        <v>5216</v>
      </c>
      <c r="AI1234" s="1"/>
      <c r="AJ1234" s="1" t="s">
        <v>898</v>
      </c>
      <c r="AK1234" s="1"/>
      <c r="AL1234" s="1"/>
      <c r="AM1234" s="1" t="s">
        <v>65</v>
      </c>
      <c r="AN1234" s="1" t="s">
        <v>152</v>
      </c>
      <c r="AO1234" s="1"/>
      <c r="AP1234" s="2">
        <v>43788.5703935185</v>
      </c>
      <c r="AQ1234" s="1"/>
      <c r="AR1234" s="1" t="s">
        <v>4956</v>
      </c>
      <c r="AS1234" s="1"/>
      <c r="AT1234" s="2">
        <v>44269.931099537</v>
      </c>
    </row>
    <row r="1235" ht="13.5" customHeight="1">
      <c r="A1235" s="1">
        <v>2035379.0</v>
      </c>
      <c r="B1235" s="1" t="s">
        <v>67</v>
      </c>
      <c r="C1235" s="1" t="s">
        <v>68</v>
      </c>
      <c r="D1235" s="1" t="s">
        <v>46</v>
      </c>
      <c r="E1235" s="1" t="s">
        <v>5217</v>
      </c>
      <c r="F1235" s="1"/>
      <c r="G1235" s="1" t="s">
        <v>70</v>
      </c>
      <c r="H1235" s="1" t="s">
        <v>93</v>
      </c>
      <c r="I1235" s="1">
        <v>1390000.0</v>
      </c>
      <c r="J1235" s="1"/>
      <c r="K1235" s="1"/>
      <c r="L1235" s="1" t="s">
        <v>172</v>
      </c>
      <c r="M1235" s="1" t="s">
        <v>5218</v>
      </c>
      <c r="N1235" s="1" t="s">
        <v>142</v>
      </c>
      <c r="O1235" s="1" t="s">
        <v>143</v>
      </c>
      <c r="P1235" s="2">
        <v>43788.5416666667</v>
      </c>
      <c r="Q1235" s="1" t="s">
        <v>74</v>
      </c>
      <c r="R1235" s="3">
        <v>43787.0</v>
      </c>
      <c r="S1235" s="1"/>
      <c r="T1235" s="1">
        <v>5103205.0</v>
      </c>
      <c r="U1235" s="1" t="s">
        <v>5219</v>
      </c>
      <c r="V1235" s="1" t="s">
        <v>164</v>
      </c>
      <c r="W1235" s="1" t="s">
        <v>177</v>
      </c>
      <c r="X1235" s="1"/>
      <c r="Y1235" s="1" t="str">
        <f>"02001006610202094"</f>
        <v>02001006610202094</v>
      </c>
      <c r="Z1235" s="1" t="s">
        <v>147</v>
      </c>
      <c r="AA1235" s="1" t="s">
        <v>5188</v>
      </c>
      <c r="AB1235" s="1" t="str">
        <f>"***555301**"</f>
        <v>***555301**</v>
      </c>
      <c r="AC1235" s="1"/>
      <c r="AD1235" s="1"/>
      <c r="AE1235" s="1"/>
      <c r="AF1235" s="1">
        <v>-53.955555</v>
      </c>
      <c r="AG1235" s="1">
        <v>-10.675</v>
      </c>
      <c r="AH1235" s="1" t="s">
        <v>5220</v>
      </c>
      <c r="AI1235" s="1"/>
      <c r="AJ1235" s="1" t="s">
        <v>172</v>
      </c>
      <c r="AK1235" s="1"/>
      <c r="AL1235" s="1" t="s">
        <v>79</v>
      </c>
      <c r="AM1235" s="1" t="s">
        <v>65</v>
      </c>
      <c r="AN1235" s="1" t="s">
        <v>180</v>
      </c>
      <c r="AO1235" s="2">
        <v>43901.0</v>
      </c>
      <c r="AP1235" s="2">
        <v>43901.6666898148</v>
      </c>
      <c r="AQ1235" s="1" t="s">
        <v>80</v>
      </c>
      <c r="AR1235" s="1" t="s">
        <v>650</v>
      </c>
      <c r="AS1235" s="1" t="s">
        <v>4933</v>
      </c>
      <c r="AT1235" s="2">
        <v>44269.931099537</v>
      </c>
    </row>
    <row r="1236" ht="13.5" customHeight="1">
      <c r="A1236" s="1">
        <v>2040382.0</v>
      </c>
      <c r="B1236" s="1" t="s">
        <v>67</v>
      </c>
      <c r="C1236" s="1" t="s">
        <v>68</v>
      </c>
      <c r="D1236" s="1" t="s">
        <v>46</v>
      </c>
      <c r="E1236" s="1" t="s">
        <v>5221</v>
      </c>
      <c r="F1236" s="1"/>
      <c r="G1236" s="1" t="s">
        <v>70</v>
      </c>
      <c r="H1236" s="1" t="s">
        <v>93</v>
      </c>
      <c r="I1236" s="1">
        <v>805000.0</v>
      </c>
      <c r="J1236" s="1"/>
      <c r="K1236" s="1"/>
      <c r="L1236" s="1" t="s">
        <v>172</v>
      </c>
      <c r="M1236" s="1" t="s">
        <v>5222</v>
      </c>
      <c r="N1236" s="1" t="s">
        <v>142</v>
      </c>
      <c r="O1236" s="1" t="s">
        <v>143</v>
      </c>
      <c r="P1236" s="2">
        <v>43788.5416666667</v>
      </c>
      <c r="Q1236" s="1" t="s">
        <v>373</v>
      </c>
      <c r="R1236" s="3">
        <v>43788.0</v>
      </c>
      <c r="S1236" s="1"/>
      <c r="T1236" s="1">
        <v>1505064.0</v>
      </c>
      <c r="U1236" s="1" t="s">
        <v>2897</v>
      </c>
      <c r="V1236" s="1" t="s">
        <v>193</v>
      </c>
      <c r="W1236" s="1" t="s">
        <v>177</v>
      </c>
      <c r="X1236" s="1"/>
      <c r="Y1236" s="1" t="str">
        <f>"02001018436202022"</f>
        <v>02001018436202022</v>
      </c>
      <c r="Z1236" s="1" t="s">
        <v>147</v>
      </c>
      <c r="AA1236" s="1" t="s">
        <v>5223</v>
      </c>
      <c r="AB1236" s="1" t="str">
        <f>"***336071**"</f>
        <v>***336071**</v>
      </c>
      <c r="AC1236" s="1"/>
      <c r="AD1236" s="1"/>
      <c r="AE1236" s="1"/>
      <c r="AF1236" s="1">
        <v>-50.737221</v>
      </c>
      <c r="AG1236" s="1">
        <v>-4.316111</v>
      </c>
      <c r="AH1236" s="1" t="s">
        <v>5224</v>
      </c>
      <c r="AI1236" s="1"/>
      <c r="AJ1236" s="1" t="s">
        <v>172</v>
      </c>
      <c r="AK1236" s="1"/>
      <c r="AL1236" s="1" t="s">
        <v>79</v>
      </c>
      <c r="AM1236" s="1" t="s">
        <v>65</v>
      </c>
      <c r="AN1236" s="1" t="s">
        <v>1395</v>
      </c>
      <c r="AO1236" s="2">
        <v>44123.0</v>
      </c>
      <c r="AP1236" s="2">
        <v>44123.656875</v>
      </c>
      <c r="AQ1236" s="1" t="s">
        <v>80</v>
      </c>
      <c r="AR1236" s="1" t="s">
        <v>2545</v>
      </c>
      <c r="AS1236" s="1" t="s">
        <v>4966</v>
      </c>
      <c r="AT1236" s="2">
        <v>44269.931099537</v>
      </c>
    </row>
    <row r="1237" ht="13.5" customHeight="1">
      <c r="A1237" s="1"/>
      <c r="B1237" s="1" t="s">
        <v>46</v>
      </c>
      <c r="C1237" s="1" t="s">
        <v>47</v>
      </c>
      <c r="D1237" s="1"/>
      <c r="E1237" s="1" t="s">
        <v>5225</v>
      </c>
      <c r="F1237" s="1"/>
      <c r="G1237" s="1"/>
      <c r="H1237" s="1" t="s">
        <v>93</v>
      </c>
      <c r="I1237" s="1">
        <v>11390.64</v>
      </c>
      <c r="J1237" s="1"/>
      <c r="K1237" s="1" t="s">
        <v>51</v>
      </c>
      <c r="L1237" s="1"/>
      <c r="M1237" s="1" t="s">
        <v>5226</v>
      </c>
      <c r="N1237" s="1" t="s">
        <v>142</v>
      </c>
      <c r="O1237" s="1" t="s">
        <v>143</v>
      </c>
      <c r="P1237" s="2">
        <v>43788.5234953704</v>
      </c>
      <c r="Q1237" s="1" t="s">
        <v>74</v>
      </c>
      <c r="R1237" s="3">
        <v>43788.0</v>
      </c>
      <c r="S1237" s="1"/>
      <c r="T1237" s="1">
        <v>2207702.0</v>
      </c>
      <c r="U1237" s="1" t="s">
        <v>1190</v>
      </c>
      <c r="V1237" s="1" t="s">
        <v>895</v>
      </c>
      <c r="W1237" s="1" t="s">
        <v>113</v>
      </c>
      <c r="X1237" s="1"/>
      <c r="Y1237" s="1"/>
      <c r="Z1237" s="1" t="s">
        <v>147</v>
      </c>
      <c r="AA1237" s="1" t="s">
        <v>5227</v>
      </c>
      <c r="AB1237" s="1" t="str">
        <f>"17754796000170"</f>
        <v>17754796000170</v>
      </c>
      <c r="AC1237" s="1"/>
      <c r="AD1237" s="1" t="s">
        <v>149</v>
      </c>
      <c r="AE1237" s="1"/>
      <c r="AF1237" s="1">
        <v>-41.77861</v>
      </c>
      <c r="AG1237" s="1">
        <v>-2.896667</v>
      </c>
      <c r="AH1237" s="1" t="s">
        <v>5228</v>
      </c>
      <c r="AI1237" s="1"/>
      <c r="AJ1237" s="1" t="s">
        <v>898</v>
      </c>
      <c r="AK1237" s="1"/>
      <c r="AL1237" s="1"/>
      <c r="AM1237" s="1" t="s">
        <v>65</v>
      </c>
      <c r="AN1237" s="1" t="s">
        <v>152</v>
      </c>
      <c r="AO1237" s="1"/>
      <c r="AP1237" s="2">
        <v>43788.541724537</v>
      </c>
      <c r="AQ1237" s="1"/>
      <c r="AR1237" s="1" t="s">
        <v>4956</v>
      </c>
      <c r="AS1237" s="1"/>
      <c r="AT1237" s="2">
        <v>44269.931099537</v>
      </c>
    </row>
    <row r="1238" ht="13.5" customHeight="1">
      <c r="A1238" s="1"/>
      <c r="B1238" s="1" t="s">
        <v>46</v>
      </c>
      <c r="C1238" s="1" t="s">
        <v>657</v>
      </c>
      <c r="D1238" s="1" t="s">
        <v>67</v>
      </c>
      <c r="E1238" s="1" t="s">
        <v>5229</v>
      </c>
      <c r="F1238" s="1"/>
      <c r="G1238" s="1"/>
      <c r="H1238" s="1" t="s">
        <v>93</v>
      </c>
      <c r="I1238" s="1">
        <v>11700.0</v>
      </c>
      <c r="J1238" s="1"/>
      <c r="K1238" s="1"/>
      <c r="L1238" s="1"/>
      <c r="M1238" s="1" t="s">
        <v>5230</v>
      </c>
      <c r="N1238" s="1" t="s">
        <v>53</v>
      </c>
      <c r="O1238" s="1" t="s">
        <v>54</v>
      </c>
      <c r="P1238" s="2">
        <v>43788.516712963</v>
      </c>
      <c r="Q1238" s="1" t="s">
        <v>74</v>
      </c>
      <c r="R1238" s="1"/>
      <c r="S1238" s="1"/>
      <c r="T1238" s="1">
        <v>4208203.0</v>
      </c>
      <c r="U1238" s="1" t="s">
        <v>735</v>
      </c>
      <c r="V1238" s="1" t="s">
        <v>267</v>
      </c>
      <c r="W1238" s="1" t="s">
        <v>288</v>
      </c>
      <c r="X1238" s="1"/>
      <c r="Y1238" s="1"/>
      <c r="Z1238" s="1" t="s">
        <v>60</v>
      </c>
      <c r="AA1238" s="1" t="s">
        <v>5231</v>
      </c>
      <c r="AB1238" s="1" t="str">
        <f>"***378639**"</f>
        <v>***378639**</v>
      </c>
      <c r="AC1238" s="1"/>
      <c r="AD1238" s="1" t="s">
        <v>62</v>
      </c>
      <c r="AE1238" s="1"/>
      <c r="AF1238" s="1">
        <v>-48.671391</v>
      </c>
      <c r="AG1238" s="1">
        <v>-26.919443</v>
      </c>
      <c r="AH1238" s="1" t="s">
        <v>5232</v>
      </c>
      <c r="AI1238" s="1"/>
      <c r="AJ1238" s="1" t="s">
        <v>264</v>
      </c>
      <c r="AK1238" s="1"/>
      <c r="AL1238" s="1"/>
      <c r="AM1238" s="1" t="s">
        <v>65</v>
      </c>
      <c r="AN1238" s="1"/>
      <c r="AO1238" s="1"/>
      <c r="AP1238" s="2">
        <v>43788.5196875</v>
      </c>
      <c r="AQ1238" s="1"/>
      <c r="AR1238" s="1" t="s">
        <v>3247</v>
      </c>
      <c r="AS1238" s="1"/>
      <c r="AT1238" s="2">
        <v>44269.931099537</v>
      </c>
    </row>
    <row r="1239" ht="13.5" customHeight="1">
      <c r="A1239" s="1">
        <v>2041051.0</v>
      </c>
      <c r="B1239" s="1" t="s">
        <v>67</v>
      </c>
      <c r="C1239" s="1" t="s">
        <v>68</v>
      </c>
      <c r="D1239" s="1" t="s">
        <v>46</v>
      </c>
      <c r="E1239" s="1" t="s">
        <v>5233</v>
      </c>
      <c r="F1239" s="1"/>
      <c r="G1239" s="1" t="s">
        <v>70</v>
      </c>
      <c r="H1239" s="1" t="s">
        <v>93</v>
      </c>
      <c r="I1239" s="1">
        <v>1222500.0</v>
      </c>
      <c r="J1239" s="1"/>
      <c r="K1239" s="1"/>
      <c r="L1239" s="1" t="s">
        <v>172</v>
      </c>
      <c r="M1239" s="1" t="s">
        <v>5234</v>
      </c>
      <c r="N1239" s="1" t="s">
        <v>142</v>
      </c>
      <c r="O1239" s="1" t="s">
        <v>143</v>
      </c>
      <c r="P1239" s="2">
        <v>43788.5</v>
      </c>
      <c r="Q1239" s="1" t="s">
        <v>74</v>
      </c>
      <c r="R1239" s="3">
        <v>43787.0</v>
      </c>
      <c r="S1239" s="1"/>
      <c r="T1239" s="1">
        <v>5103056.0</v>
      </c>
      <c r="U1239" s="1" t="s">
        <v>1877</v>
      </c>
      <c r="V1239" s="1" t="s">
        <v>164</v>
      </c>
      <c r="W1239" s="1" t="s">
        <v>177</v>
      </c>
      <c r="X1239" s="1"/>
      <c r="Y1239" s="1" t="str">
        <f>"02001004979202062"</f>
        <v>02001004979202062</v>
      </c>
      <c r="Z1239" s="1" t="s">
        <v>147</v>
      </c>
      <c r="AA1239" s="1" t="s">
        <v>5235</v>
      </c>
      <c r="AB1239" s="1" t="str">
        <f>"***155261**"</f>
        <v>***155261**</v>
      </c>
      <c r="AC1239" s="1"/>
      <c r="AD1239" s="1"/>
      <c r="AE1239" s="1"/>
      <c r="AF1239" s="1">
        <v>-55.068611</v>
      </c>
      <c r="AG1239" s="1">
        <v>-11.336666</v>
      </c>
      <c r="AH1239" s="1" t="s">
        <v>5236</v>
      </c>
      <c r="AI1239" s="1"/>
      <c r="AJ1239" s="1" t="s">
        <v>172</v>
      </c>
      <c r="AK1239" s="1"/>
      <c r="AL1239" s="1" t="s">
        <v>79</v>
      </c>
      <c r="AM1239" s="1" t="s">
        <v>65</v>
      </c>
      <c r="AN1239" s="1" t="s">
        <v>180</v>
      </c>
      <c r="AO1239" s="2">
        <v>44151.0</v>
      </c>
      <c r="AP1239" s="2">
        <v>44151.5929513889</v>
      </c>
      <c r="AQ1239" s="1" t="s">
        <v>80</v>
      </c>
      <c r="AR1239" s="1" t="s">
        <v>5237</v>
      </c>
      <c r="AS1239" s="1" t="s">
        <v>5238</v>
      </c>
      <c r="AT1239" s="2">
        <v>44269.931099537</v>
      </c>
    </row>
    <row r="1240" ht="13.5" customHeight="1">
      <c r="A1240" s="1"/>
      <c r="B1240" s="1" t="s">
        <v>46</v>
      </c>
      <c r="C1240" s="1" t="s">
        <v>47</v>
      </c>
      <c r="D1240" s="1"/>
      <c r="E1240" s="1" t="s">
        <v>5239</v>
      </c>
      <c r="F1240" s="1"/>
      <c r="G1240" s="1"/>
      <c r="H1240" s="1" t="s">
        <v>93</v>
      </c>
      <c r="I1240" s="1">
        <v>4014000.0</v>
      </c>
      <c r="J1240" s="1"/>
      <c r="K1240" s="1"/>
      <c r="L1240" s="1"/>
      <c r="M1240" s="1" t="s">
        <v>5240</v>
      </c>
      <c r="N1240" s="1" t="s">
        <v>5015</v>
      </c>
      <c r="O1240" s="1" t="s">
        <v>5016</v>
      </c>
      <c r="P1240" s="2">
        <v>43788.4940625</v>
      </c>
      <c r="Q1240" s="1" t="s">
        <v>373</v>
      </c>
      <c r="R1240" s="1"/>
      <c r="S1240" s="1"/>
      <c r="T1240" s="1">
        <v>1500602.0</v>
      </c>
      <c r="U1240" s="1" t="s">
        <v>5135</v>
      </c>
      <c r="V1240" s="1" t="s">
        <v>193</v>
      </c>
      <c r="W1240" s="1" t="s">
        <v>177</v>
      </c>
      <c r="X1240" s="1"/>
      <c r="Y1240" s="1"/>
      <c r="Z1240" s="1" t="s">
        <v>5018</v>
      </c>
      <c r="AA1240" s="1" t="s">
        <v>5241</v>
      </c>
      <c r="AB1240" s="1" t="str">
        <f>"***603598**"</f>
        <v>***603598**</v>
      </c>
      <c r="AC1240" s="1"/>
      <c r="AD1240" s="1" t="s">
        <v>2103</v>
      </c>
      <c r="AE1240" s="1"/>
      <c r="AF1240" s="1">
        <v>-54.973335</v>
      </c>
      <c r="AG1240" s="1">
        <v>-6.390555</v>
      </c>
      <c r="AH1240" s="1" t="s">
        <v>5242</v>
      </c>
      <c r="AI1240" s="1"/>
      <c r="AJ1240" s="1" t="s">
        <v>172</v>
      </c>
      <c r="AK1240" s="1"/>
      <c r="AL1240" s="1"/>
      <c r="AM1240" s="1" t="s">
        <v>65</v>
      </c>
      <c r="AN1240" s="1" t="s">
        <v>1395</v>
      </c>
      <c r="AO1240" s="1"/>
      <c r="AP1240" s="2">
        <v>43788.5121412037</v>
      </c>
      <c r="AQ1240" s="1"/>
      <c r="AR1240" s="1" t="s">
        <v>5243</v>
      </c>
      <c r="AS1240" s="1"/>
      <c r="AT1240" s="2">
        <v>44269.931099537</v>
      </c>
    </row>
    <row r="1241" ht="13.5" customHeight="1">
      <c r="A1241" s="1"/>
      <c r="B1241" s="1" t="s">
        <v>46</v>
      </c>
      <c r="C1241" s="1" t="s">
        <v>47</v>
      </c>
      <c r="D1241" s="1"/>
      <c r="E1241" s="1" t="s">
        <v>5244</v>
      </c>
      <c r="F1241" s="1"/>
      <c r="G1241" s="1" t="s">
        <v>49</v>
      </c>
      <c r="H1241" s="1" t="s">
        <v>93</v>
      </c>
      <c r="I1241" s="1">
        <v>1835000.0</v>
      </c>
      <c r="J1241" s="1"/>
      <c r="K1241" s="1"/>
      <c r="L1241" s="1"/>
      <c r="M1241" s="1" t="s">
        <v>5245</v>
      </c>
      <c r="N1241" s="1" t="s">
        <v>142</v>
      </c>
      <c r="O1241" s="1" t="s">
        <v>143</v>
      </c>
      <c r="P1241" s="2">
        <v>43788.4851851852</v>
      </c>
      <c r="Q1241" s="1" t="s">
        <v>74</v>
      </c>
      <c r="R1241" s="1"/>
      <c r="S1241" s="1"/>
      <c r="T1241" s="1">
        <v>1505502.0</v>
      </c>
      <c r="U1241" s="1" t="s">
        <v>1313</v>
      </c>
      <c r="V1241" s="1" t="s">
        <v>193</v>
      </c>
      <c r="W1241" s="1" t="s">
        <v>177</v>
      </c>
      <c r="X1241" s="1"/>
      <c r="Y1241" s="1"/>
      <c r="Z1241" s="1" t="s">
        <v>147</v>
      </c>
      <c r="AA1241" s="1" t="s">
        <v>5246</v>
      </c>
      <c r="AB1241" s="1" t="str">
        <f>"***299777**"</f>
        <v>***299777**</v>
      </c>
      <c r="AC1241" s="1"/>
      <c r="AD1241" s="1" t="s">
        <v>116</v>
      </c>
      <c r="AE1241" s="1"/>
      <c r="AF1241" s="1">
        <v>-48.566387</v>
      </c>
      <c r="AG1241" s="1">
        <v>-3.440556</v>
      </c>
      <c r="AH1241" s="1" t="s">
        <v>5247</v>
      </c>
      <c r="AI1241" s="1"/>
      <c r="AJ1241" s="1" t="s">
        <v>172</v>
      </c>
      <c r="AK1241" s="1"/>
      <c r="AL1241" s="1"/>
      <c r="AM1241" s="1" t="s">
        <v>65</v>
      </c>
      <c r="AN1241" s="1" t="s">
        <v>1395</v>
      </c>
      <c r="AO1241" s="1"/>
      <c r="AP1241" s="2">
        <v>43988.4393518519</v>
      </c>
      <c r="AQ1241" s="1"/>
      <c r="AR1241" s="1" t="s">
        <v>3478</v>
      </c>
      <c r="AS1241" s="1"/>
      <c r="AT1241" s="2">
        <v>44269.931099537</v>
      </c>
    </row>
    <row r="1242" ht="13.5" customHeight="1">
      <c r="A1242" s="1"/>
      <c r="B1242" s="1" t="s">
        <v>46</v>
      </c>
      <c r="C1242" s="1" t="s">
        <v>47</v>
      </c>
      <c r="D1242" s="1"/>
      <c r="E1242" s="1" t="s">
        <v>5248</v>
      </c>
      <c r="F1242" s="1"/>
      <c r="G1242" s="1"/>
      <c r="H1242" s="1" t="s">
        <v>93</v>
      </c>
      <c r="I1242" s="1">
        <v>105478.8</v>
      </c>
      <c r="J1242" s="1"/>
      <c r="K1242" s="1"/>
      <c r="L1242" s="1"/>
      <c r="M1242" s="1" t="s">
        <v>5249</v>
      </c>
      <c r="N1242" s="1" t="s">
        <v>142</v>
      </c>
      <c r="O1242" s="1" t="s">
        <v>143</v>
      </c>
      <c r="P1242" s="2">
        <v>43788.4751388889</v>
      </c>
      <c r="Q1242" s="1" t="s">
        <v>373</v>
      </c>
      <c r="R1242" s="1"/>
      <c r="S1242" s="1"/>
      <c r="T1242" s="1">
        <v>1506807.0</v>
      </c>
      <c r="U1242" s="1" t="s">
        <v>1026</v>
      </c>
      <c r="V1242" s="1" t="s">
        <v>193</v>
      </c>
      <c r="W1242" s="1" t="s">
        <v>177</v>
      </c>
      <c r="X1242" s="1"/>
      <c r="Y1242" s="1"/>
      <c r="Z1242" s="1" t="s">
        <v>147</v>
      </c>
      <c r="AA1242" s="1" t="s">
        <v>5250</v>
      </c>
      <c r="AB1242" s="1" t="str">
        <f>"26038648000140"</f>
        <v>26038648000140</v>
      </c>
      <c r="AC1242" s="1"/>
      <c r="AD1242" s="1" t="s">
        <v>149</v>
      </c>
      <c r="AE1242" s="1"/>
      <c r="AF1242" s="1">
        <v>-54.699722</v>
      </c>
      <c r="AG1242" s="1">
        <v>-2.478056</v>
      </c>
      <c r="AH1242" s="1" t="s">
        <v>5251</v>
      </c>
      <c r="AI1242" s="1"/>
      <c r="AJ1242" s="1" t="s">
        <v>765</v>
      </c>
      <c r="AK1242" s="1"/>
      <c r="AL1242" s="1"/>
      <c r="AM1242" s="1" t="s">
        <v>65</v>
      </c>
      <c r="AN1242" s="1"/>
      <c r="AO1242" s="1"/>
      <c r="AP1242" s="2">
        <v>43788.6195601852</v>
      </c>
      <c r="AQ1242" s="1"/>
      <c r="AR1242" s="1" t="s">
        <v>280</v>
      </c>
      <c r="AS1242" s="1"/>
      <c r="AT1242" s="2">
        <v>44269.931099537</v>
      </c>
    </row>
    <row r="1243" ht="13.5" customHeight="1">
      <c r="A1243" s="1"/>
      <c r="B1243" s="1" t="s">
        <v>46</v>
      </c>
      <c r="C1243" s="1" t="s">
        <v>47</v>
      </c>
      <c r="D1243" s="1"/>
      <c r="E1243" s="1" t="s">
        <v>5252</v>
      </c>
      <c r="F1243" s="1"/>
      <c r="G1243" s="1" t="s">
        <v>49</v>
      </c>
      <c r="H1243" s="1" t="s">
        <v>93</v>
      </c>
      <c r="I1243" s="1">
        <v>907500.0</v>
      </c>
      <c r="J1243" s="1"/>
      <c r="K1243" s="1"/>
      <c r="L1243" s="1"/>
      <c r="M1243" s="1" t="s">
        <v>5253</v>
      </c>
      <c r="N1243" s="1" t="s">
        <v>142</v>
      </c>
      <c r="O1243" s="1" t="s">
        <v>143</v>
      </c>
      <c r="P1243" s="2">
        <v>43788.458587963</v>
      </c>
      <c r="Q1243" s="1" t="s">
        <v>74</v>
      </c>
      <c r="R1243" s="3">
        <v>43788.0</v>
      </c>
      <c r="S1243" s="1"/>
      <c r="T1243" s="1">
        <v>1505064.0</v>
      </c>
      <c r="U1243" s="1" t="s">
        <v>2897</v>
      </c>
      <c r="V1243" s="1" t="s">
        <v>193</v>
      </c>
      <c r="W1243" s="1" t="s">
        <v>177</v>
      </c>
      <c r="X1243" s="1"/>
      <c r="Y1243" s="1"/>
      <c r="Z1243" s="1" t="s">
        <v>147</v>
      </c>
      <c r="AA1243" s="1" t="s">
        <v>5254</v>
      </c>
      <c r="AB1243" s="1" t="str">
        <f>"***494702**"</f>
        <v>***494702**</v>
      </c>
      <c r="AC1243" s="1"/>
      <c r="AD1243" s="1" t="s">
        <v>2103</v>
      </c>
      <c r="AE1243" s="1"/>
      <c r="AF1243" s="1">
        <v>-50.815556</v>
      </c>
      <c r="AG1243" s="1">
        <v>-3.2625</v>
      </c>
      <c r="AH1243" s="1" t="s">
        <v>5255</v>
      </c>
      <c r="AI1243" s="1"/>
      <c r="AJ1243" s="1" t="s">
        <v>172</v>
      </c>
      <c r="AK1243" s="1"/>
      <c r="AL1243" s="1"/>
      <c r="AM1243" s="1" t="s">
        <v>65</v>
      </c>
      <c r="AN1243" s="1" t="s">
        <v>1395</v>
      </c>
      <c r="AO1243" s="1"/>
      <c r="AP1243" s="2">
        <v>43788.4947222222</v>
      </c>
      <c r="AQ1243" s="1"/>
      <c r="AR1243" s="1" t="s">
        <v>169</v>
      </c>
      <c r="AS1243" s="1" t="s">
        <v>5256</v>
      </c>
      <c r="AT1243" s="2">
        <v>44269.931099537</v>
      </c>
    </row>
    <row r="1244" ht="13.5" customHeight="1">
      <c r="A1244" s="1">
        <v>2034939.0</v>
      </c>
      <c r="B1244" s="1" t="s">
        <v>67</v>
      </c>
      <c r="C1244" s="1" t="s">
        <v>68</v>
      </c>
      <c r="D1244" s="1" t="s">
        <v>46</v>
      </c>
      <c r="E1244" s="1" t="s">
        <v>5257</v>
      </c>
      <c r="F1244" s="1"/>
      <c r="G1244" s="1" t="s">
        <v>70</v>
      </c>
      <c r="H1244" s="1" t="s">
        <v>93</v>
      </c>
      <c r="I1244" s="1">
        <v>3188750.0</v>
      </c>
      <c r="J1244" s="1"/>
      <c r="K1244" s="1"/>
      <c r="L1244" s="1" t="s">
        <v>172</v>
      </c>
      <c r="M1244" s="1" t="s">
        <v>5258</v>
      </c>
      <c r="N1244" s="1" t="s">
        <v>142</v>
      </c>
      <c r="O1244" s="1" t="s">
        <v>143</v>
      </c>
      <c r="P1244" s="2">
        <v>43788.4583333333</v>
      </c>
      <c r="Q1244" s="1" t="s">
        <v>74</v>
      </c>
      <c r="R1244" s="3">
        <v>43788.0</v>
      </c>
      <c r="S1244" s="1"/>
      <c r="T1244" s="1">
        <v>1508001.0</v>
      </c>
      <c r="U1244" s="1" t="s">
        <v>5259</v>
      </c>
      <c r="V1244" s="1" t="s">
        <v>193</v>
      </c>
      <c r="W1244" s="1" t="s">
        <v>177</v>
      </c>
      <c r="X1244" s="1"/>
      <c r="Y1244" s="1" t="str">
        <f>"02001005610202077"</f>
        <v>02001005610202077</v>
      </c>
      <c r="Z1244" s="1" t="s">
        <v>147</v>
      </c>
      <c r="AA1244" s="1" t="s">
        <v>5260</v>
      </c>
      <c r="AB1244" s="1" t="str">
        <f>"05025671000120"</f>
        <v>05025671000120</v>
      </c>
      <c r="AC1244" s="1"/>
      <c r="AD1244" s="1"/>
      <c r="AE1244" s="1"/>
      <c r="AF1244" s="1">
        <v>-48.48</v>
      </c>
      <c r="AG1244" s="1">
        <v>-3.169445</v>
      </c>
      <c r="AH1244" s="1" t="s">
        <v>5261</v>
      </c>
      <c r="AI1244" s="1"/>
      <c r="AJ1244" s="1" t="s">
        <v>172</v>
      </c>
      <c r="AK1244" s="1"/>
      <c r="AL1244" s="1" t="s">
        <v>79</v>
      </c>
      <c r="AM1244" s="1" t="s">
        <v>65</v>
      </c>
      <c r="AN1244" s="1" t="s">
        <v>1395</v>
      </c>
      <c r="AO1244" s="2">
        <v>43892.0</v>
      </c>
      <c r="AP1244" s="2">
        <v>43892.7170138889</v>
      </c>
      <c r="AQ1244" s="1" t="s">
        <v>80</v>
      </c>
      <c r="AR1244" s="1" t="s">
        <v>650</v>
      </c>
      <c r="AS1244" s="1"/>
      <c r="AT1244" s="2">
        <v>44269.931099537</v>
      </c>
    </row>
    <row r="1245" ht="13.5" customHeight="1">
      <c r="A1245" s="1">
        <v>2037969.0</v>
      </c>
      <c r="B1245" s="1" t="s">
        <v>67</v>
      </c>
      <c r="C1245" s="1" t="s">
        <v>68</v>
      </c>
      <c r="D1245" s="1" t="s">
        <v>46</v>
      </c>
      <c r="E1245" s="1" t="s">
        <v>5262</v>
      </c>
      <c r="F1245" s="1"/>
      <c r="G1245" s="1" t="s">
        <v>70</v>
      </c>
      <c r="H1245" s="1" t="s">
        <v>93</v>
      </c>
      <c r="I1245" s="1">
        <v>2500.0</v>
      </c>
      <c r="J1245" s="1"/>
      <c r="K1245" s="1"/>
      <c r="L1245" s="1" t="s">
        <v>101</v>
      </c>
      <c r="M1245" s="1" t="s">
        <v>5263</v>
      </c>
      <c r="N1245" s="1" t="s">
        <v>95</v>
      </c>
      <c r="O1245" s="1" t="s">
        <v>96</v>
      </c>
      <c r="P1245" s="2">
        <v>43788.4583333333</v>
      </c>
      <c r="Q1245" s="1" t="s">
        <v>74</v>
      </c>
      <c r="R1245" s="3">
        <v>43787.0</v>
      </c>
      <c r="S1245" s="1"/>
      <c r="T1245" s="1">
        <v>3509502.0</v>
      </c>
      <c r="U1245" s="1" t="s">
        <v>97</v>
      </c>
      <c r="V1245" s="1" t="s">
        <v>58</v>
      </c>
      <c r="W1245" s="1" t="s">
        <v>59</v>
      </c>
      <c r="X1245" s="1"/>
      <c r="Y1245" s="1" t="str">
        <f>"02285000108202031"</f>
        <v>02285000108202031</v>
      </c>
      <c r="Z1245" s="1" t="s">
        <v>98</v>
      </c>
      <c r="AA1245" s="1" t="s">
        <v>5264</v>
      </c>
      <c r="AB1245" s="1" t="str">
        <f>"***091238**"</f>
        <v>***091238**</v>
      </c>
      <c r="AC1245" s="1"/>
      <c r="AD1245" s="1"/>
      <c r="AE1245" s="1"/>
      <c r="AF1245" s="1">
        <v>-47.144447</v>
      </c>
      <c r="AG1245" s="1">
        <v>-23.007778</v>
      </c>
      <c r="AH1245" s="1" t="s">
        <v>5265</v>
      </c>
      <c r="AI1245" s="1"/>
      <c r="AJ1245" s="1" t="s">
        <v>101</v>
      </c>
      <c r="AK1245" s="1"/>
      <c r="AL1245" s="1" t="s">
        <v>79</v>
      </c>
      <c r="AM1245" s="1" t="s">
        <v>65</v>
      </c>
      <c r="AN1245" s="1" t="s">
        <v>102</v>
      </c>
      <c r="AO1245" s="2">
        <v>44016.0</v>
      </c>
      <c r="AP1245" s="2">
        <v>44016.5503935185</v>
      </c>
      <c r="AQ1245" s="1" t="s">
        <v>80</v>
      </c>
      <c r="AR1245" s="1" t="s">
        <v>953</v>
      </c>
      <c r="AS1245" s="1" t="s">
        <v>5266</v>
      </c>
      <c r="AT1245" s="2">
        <v>44269.931099537</v>
      </c>
    </row>
    <row r="1246" ht="13.5" customHeight="1">
      <c r="A1246" s="1"/>
      <c r="B1246" s="1" t="s">
        <v>46</v>
      </c>
      <c r="C1246" s="1" t="s">
        <v>47</v>
      </c>
      <c r="D1246" s="1"/>
      <c r="E1246" s="1" t="s">
        <v>5267</v>
      </c>
      <c r="F1246" s="1"/>
      <c r="G1246" s="1" t="s">
        <v>49</v>
      </c>
      <c r="H1246" s="1" t="s">
        <v>50</v>
      </c>
      <c r="I1246" s="1">
        <v>10000.0</v>
      </c>
      <c r="J1246" s="1"/>
      <c r="K1246" s="1" t="s">
        <v>51</v>
      </c>
      <c r="L1246" s="1"/>
      <c r="M1246" s="1" t="s">
        <v>5268</v>
      </c>
      <c r="N1246" s="1" t="s">
        <v>283</v>
      </c>
      <c r="O1246" s="1" t="s">
        <v>1133</v>
      </c>
      <c r="P1246" s="2">
        <v>43788.4575578704</v>
      </c>
      <c r="Q1246" s="1" t="s">
        <v>373</v>
      </c>
      <c r="R1246" s="1"/>
      <c r="S1246" s="1"/>
      <c r="T1246" s="1">
        <v>2507804.0</v>
      </c>
      <c r="U1246" s="1" t="s">
        <v>5269</v>
      </c>
      <c r="V1246" s="1" t="s">
        <v>728</v>
      </c>
      <c r="W1246" s="1" t="s">
        <v>113</v>
      </c>
      <c r="X1246" s="1"/>
      <c r="Y1246" s="1"/>
      <c r="Z1246" s="1" t="s">
        <v>128</v>
      </c>
      <c r="AA1246" s="1" t="s">
        <v>5270</v>
      </c>
      <c r="AB1246" s="1" t="str">
        <f>"***084464**"</f>
        <v>***084464**</v>
      </c>
      <c r="AC1246" s="1"/>
      <c r="AD1246" s="1" t="s">
        <v>149</v>
      </c>
      <c r="AE1246" s="1"/>
      <c r="AF1246" s="1">
        <v>-36.788612</v>
      </c>
      <c r="AG1246" s="1">
        <v>-6.996389</v>
      </c>
      <c r="AH1246" s="1" t="s">
        <v>5271</v>
      </c>
      <c r="AI1246" s="1"/>
      <c r="AJ1246" s="1" t="s">
        <v>731</v>
      </c>
      <c r="AK1246" s="1"/>
      <c r="AL1246" s="1"/>
      <c r="AM1246" s="1" t="s">
        <v>65</v>
      </c>
      <c r="AN1246" s="1" t="s">
        <v>3305</v>
      </c>
      <c r="AO1246" s="1"/>
      <c r="AP1246" s="2">
        <v>43929.8921180556</v>
      </c>
      <c r="AQ1246" s="1"/>
      <c r="AR1246" s="1" t="s">
        <v>5272</v>
      </c>
      <c r="AS1246" s="1"/>
      <c r="AT1246" s="2">
        <v>44269.931099537</v>
      </c>
    </row>
    <row r="1247" ht="13.5" customHeight="1">
      <c r="A1247" s="1"/>
      <c r="B1247" s="1" t="s">
        <v>46</v>
      </c>
      <c r="C1247" s="1" t="s">
        <v>47</v>
      </c>
      <c r="D1247" s="1"/>
      <c r="E1247" s="1" t="s">
        <v>5273</v>
      </c>
      <c r="F1247" s="1"/>
      <c r="G1247" s="1" t="s">
        <v>49</v>
      </c>
      <c r="H1247" s="1" t="s">
        <v>93</v>
      </c>
      <c r="I1247" s="1">
        <v>453450.0</v>
      </c>
      <c r="J1247" s="1"/>
      <c r="K1247" s="1"/>
      <c r="L1247" s="1"/>
      <c r="M1247" s="1" t="s">
        <v>5274</v>
      </c>
      <c r="N1247" s="1" t="s">
        <v>142</v>
      </c>
      <c r="O1247" s="1" t="s">
        <v>143</v>
      </c>
      <c r="P1247" s="2">
        <v>43788.4448263889</v>
      </c>
      <c r="Q1247" s="1" t="s">
        <v>373</v>
      </c>
      <c r="R1247" s="1"/>
      <c r="S1247" s="1"/>
      <c r="T1247" s="1">
        <v>5103254.0</v>
      </c>
      <c r="U1247" s="1" t="s">
        <v>5275</v>
      </c>
      <c r="V1247" s="1" t="s">
        <v>164</v>
      </c>
      <c r="W1247" s="1" t="s">
        <v>177</v>
      </c>
      <c r="X1247" s="1"/>
      <c r="Y1247" s="1"/>
      <c r="Z1247" s="1" t="s">
        <v>147</v>
      </c>
      <c r="AA1247" s="1" t="s">
        <v>5276</v>
      </c>
      <c r="AB1247" s="1" t="str">
        <f>"***915392**"</f>
        <v>***915392**</v>
      </c>
      <c r="AC1247" s="1"/>
      <c r="AD1247" s="1" t="s">
        <v>116</v>
      </c>
      <c r="AE1247" s="1"/>
      <c r="AF1247" s="1">
        <v>-59.411945</v>
      </c>
      <c r="AG1247" s="1">
        <v>-9.100278</v>
      </c>
      <c r="AH1247" s="1" t="s">
        <v>5277</v>
      </c>
      <c r="AI1247" s="1"/>
      <c r="AJ1247" s="1" t="s">
        <v>172</v>
      </c>
      <c r="AK1247" s="1"/>
      <c r="AL1247" s="1"/>
      <c r="AM1247" s="1" t="s">
        <v>65</v>
      </c>
      <c r="AN1247" s="1" t="s">
        <v>1395</v>
      </c>
      <c r="AO1247" s="1"/>
      <c r="AP1247" s="2">
        <v>44148.6079398148</v>
      </c>
      <c r="AQ1247" s="1"/>
      <c r="AR1247" s="1" t="s">
        <v>871</v>
      </c>
      <c r="AS1247" s="1" t="s">
        <v>5278</v>
      </c>
      <c r="AT1247" s="2">
        <v>44269.931099537</v>
      </c>
    </row>
    <row r="1248" ht="13.5" customHeight="1">
      <c r="A1248" s="1"/>
      <c r="B1248" s="1" t="s">
        <v>46</v>
      </c>
      <c r="C1248" s="1" t="s">
        <v>47</v>
      </c>
      <c r="D1248" s="1"/>
      <c r="E1248" s="1" t="s">
        <v>5279</v>
      </c>
      <c r="F1248" s="1"/>
      <c r="G1248" s="1" t="s">
        <v>49</v>
      </c>
      <c r="H1248" s="1" t="s">
        <v>93</v>
      </c>
      <c r="I1248" s="1">
        <v>450000.0</v>
      </c>
      <c r="J1248" s="1"/>
      <c r="K1248" s="1"/>
      <c r="L1248" s="1"/>
      <c r="M1248" s="1" t="s">
        <v>5280</v>
      </c>
      <c r="N1248" s="1" t="s">
        <v>142</v>
      </c>
      <c r="O1248" s="1" t="s">
        <v>143</v>
      </c>
      <c r="P1248" s="2">
        <v>43788.4401041667</v>
      </c>
      <c r="Q1248" s="1" t="s">
        <v>373</v>
      </c>
      <c r="R1248" s="1"/>
      <c r="S1248" s="1"/>
      <c r="T1248" s="1">
        <v>1505486.0</v>
      </c>
      <c r="U1248" s="1" t="s">
        <v>3446</v>
      </c>
      <c r="V1248" s="1" t="s">
        <v>193</v>
      </c>
      <c r="W1248" s="1" t="s">
        <v>177</v>
      </c>
      <c r="X1248" s="1"/>
      <c r="Y1248" s="1"/>
      <c r="Z1248" s="1" t="s">
        <v>147</v>
      </c>
      <c r="AA1248" s="1" t="s">
        <v>5281</v>
      </c>
      <c r="AB1248" s="1" t="str">
        <f>"***385132**"</f>
        <v>***385132**</v>
      </c>
      <c r="AC1248" s="1"/>
      <c r="AD1248" s="1" t="s">
        <v>2103</v>
      </c>
      <c r="AE1248" s="1"/>
      <c r="AF1248" s="1">
        <v>-50.795834</v>
      </c>
      <c r="AG1248" s="1">
        <v>-3.5625</v>
      </c>
      <c r="AH1248" s="1" t="s">
        <v>5282</v>
      </c>
      <c r="AI1248" s="1"/>
      <c r="AJ1248" s="1" t="s">
        <v>172</v>
      </c>
      <c r="AK1248" s="1"/>
      <c r="AL1248" s="1"/>
      <c r="AM1248" s="1" t="s">
        <v>65</v>
      </c>
      <c r="AN1248" s="1" t="s">
        <v>1395</v>
      </c>
      <c r="AO1248" s="1"/>
      <c r="AP1248" s="2">
        <v>44123.8844560185</v>
      </c>
      <c r="AQ1248" s="1"/>
      <c r="AR1248" s="1" t="s">
        <v>4932</v>
      </c>
      <c r="AS1248" s="1" t="s">
        <v>4966</v>
      </c>
      <c r="AT1248" s="2">
        <v>44269.931099537</v>
      </c>
    </row>
    <row r="1249" ht="13.5" customHeight="1">
      <c r="A1249" s="1"/>
      <c r="B1249" s="1" t="s">
        <v>46</v>
      </c>
      <c r="C1249" s="1" t="s">
        <v>47</v>
      </c>
      <c r="D1249" s="1"/>
      <c r="E1249" s="1" t="s">
        <v>5283</v>
      </c>
      <c r="F1249" s="1"/>
      <c r="G1249" s="1"/>
      <c r="H1249" s="1" t="s">
        <v>93</v>
      </c>
      <c r="I1249" s="1">
        <v>7500.0</v>
      </c>
      <c r="J1249" s="1"/>
      <c r="K1249" s="1" t="s">
        <v>51</v>
      </c>
      <c r="L1249" s="1"/>
      <c r="M1249" s="1" t="s">
        <v>5284</v>
      </c>
      <c r="N1249" s="1" t="s">
        <v>142</v>
      </c>
      <c r="O1249" s="1" t="s">
        <v>143</v>
      </c>
      <c r="P1249" s="2">
        <v>43788.4388657407</v>
      </c>
      <c r="Q1249" s="1" t="s">
        <v>74</v>
      </c>
      <c r="R1249" s="3">
        <v>43788.0</v>
      </c>
      <c r="S1249" s="1"/>
      <c r="T1249" s="1">
        <v>2207702.0</v>
      </c>
      <c r="U1249" s="1" t="s">
        <v>1190</v>
      </c>
      <c r="V1249" s="1" t="s">
        <v>895</v>
      </c>
      <c r="W1249" s="1" t="s">
        <v>113</v>
      </c>
      <c r="X1249" s="1"/>
      <c r="Y1249" s="1"/>
      <c r="Z1249" s="1" t="s">
        <v>147</v>
      </c>
      <c r="AA1249" s="1" t="s">
        <v>5285</v>
      </c>
      <c r="AB1249" s="1" t="str">
        <f>"14308958000159"</f>
        <v>14308958000159</v>
      </c>
      <c r="AC1249" s="1"/>
      <c r="AD1249" s="1" t="s">
        <v>149</v>
      </c>
      <c r="AE1249" s="1"/>
      <c r="AF1249" s="1">
        <v>-41.77861</v>
      </c>
      <c r="AG1249" s="1">
        <v>-2.896667</v>
      </c>
      <c r="AH1249" s="1" t="s">
        <v>5286</v>
      </c>
      <c r="AI1249" s="1"/>
      <c r="AJ1249" s="1" t="s">
        <v>898</v>
      </c>
      <c r="AK1249" s="1"/>
      <c r="AL1249" s="1"/>
      <c r="AM1249" s="1" t="s">
        <v>65</v>
      </c>
      <c r="AN1249" s="1" t="s">
        <v>152</v>
      </c>
      <c r="AO1249" s="1"/>
      <c r="AP1249" s="2">
        <v>43788.4859722222</v>
      </c>
      <c r="AQ1249" s="1"/>
      <c r="AR1249" s="1" t="s">
        <v>5287</v>
      </c>
      <c r="AS1249" s="1"/>
      <c r="AT1249" s="2">
        <v>44269.931099537</v>
      </c>
    </row>
    <row r="1250" ht="13.5" customHeight="1">
      <c r="A1250" s="1">
        <v>2042780.0</v>
      </c>
      <c r="B1250" s="1" t="s">
        <v>67</v>
      </c>
      <c r="C1250" s="1" t="s">
        <v>68</v>
      </c>
      <c r="D1250" s="1" t="s">
        <v>46</v>
      </c>
      <c r="E1250" s="1" t="s">
        <v>5288</v>
      </c>
      <c r="F1250" s="1"/>
      <c r="G1250" s="1" t="s">
        <v>70</v>
      </c>
      <c r="H1250" s="1" t="s">
        <v>93</v>
      </c>
      <c r="I1250" s="1">
        <v>11700.0</v>
      </c>
      <c r="J1250" s="1"/>
      <c r="K1250" s="1"/>
      <c r="L1250" s="1" t="s">
        <v>264</v>
      </c>
      <c r="M1250" s="1" t="s">
        <v>5289</v>
      </c>
      <c r="N1250" s="1" t="s">
        <v>53</v>
      </c>
      <c r="O1250" s="1" t="s">
        <v>54</v>
      </c>
      <c r="P1250" s="2">
        <v>43788.4270833333</v>
      </c>
      <c r="Q1250" s="1" t="s">
        <v>74</v>
      </c>
      <c r="R1250" s="3">
        <v>43794.0</v>
      </c>
      <c r="S1250" s="1"/>
      <c r="T1250" s="1">
        <v>4208203.0</v>
      </c>
      <c r="U1250" s="1" t="s">
        <v>735</v>
      </c>
      <c r="V1250" s="1" t="s">
        <v>267</v>
      </c>
      <c r="W1250" s="1" t="s">
        <v>288</v>
      </c>
      <c r="X1250" s="1"/>
      <c r="Y1250" s="1" t="str">
        <f>"02610001923201944"</f>
        <v>02610001923201944</v>
      </c>
      <c r="Z1250" s="1" t="s">
        <v>60</v>
      </c>
      <c r="AA1250" s="1" t="s">
        <v>5231</v>
      </c>
      <c r="AB1250" s="1" t="str">
        <f>"***378639**"</f>
        <v>***378639**</v>
      </c>
      <c r="AC1250" s="1"/>
      <c r="AD1250" s="1" t="s">
        <v>116</v>
      </c>
      <c r="AE1250" s="1"/>
      <c r="AF1250" s="1">
        <v>-48.671389</v>
      </c>
      <c r="AG1250" s="1">
        <v>-26.919444</v>
      </c>
      <c r="AH1250" s="1" t="s">
        <v>5232</v>
      </c>
      <c r="AI1250" s="1"/>
      <c r="AJ1250" s="1"/>
      <c r="AK1250" s="1"/>
      <c r="AL1250" s="1" t="s">
        <v>118</v>
      </c>
      <c r="AM1250" s="1"/>
      <c r="AN1250" s="1"/>
      <c r="AO1250" s="2">
        <v>44216.7935763889</v>
      </c>
      <c r="AP1250" s="2">
        <v>44216.7935763889</v>
      </c>
      <c r="AQ1250" s="1" t="s">
        <v>80</v>
      </c>
      <c r="AR1250" s="1" t="s">
        <v>5290</v>
      </c>
      <c r="AS1250" s="1"/>
      <c r="AT1250" s="2">
        <v>44269.931099537</v>
      </c>
    </row>
    <row r="1251" ht="13.5" customHeight="1">
      <c r="A1251" s="1">
        <v>2034938.0</v>
      </c>
      <c r="B1251" s="1" t="s">
        <v>67</v>
      </c>
      <c r="C1251" s="1" t="s">
        <v>68</v>
      </c>
      <c r="D1251" s="1" t="s">
        <v>46</v>
      </c>
      <c r="E1251" s="1" t="s">
        <v>5291</v>
      </c>
      <c r="F1251" s="1"/>
      <c r="G1251" s="1" t="s">
        <v>70</v>
      </c>
      <c r="H1251" s="1" t="s">
        <v>93</v>
      </c>
      <c r="I1251" s="1">
        <v>3162700.0</v>
      </c>
      <c r="J1251" s="1"/>
      <c r="K1251" s="1"/>
      <c r="L1251" s="1" t="s">
        <v>172</v>
      </c>
      <c r="M1251" s="1" t="s">
        <v>5292</v>
      </c>
      <c r="N1251" s="1" t="s">
        <v>142</v>
      </c>
      <c r="O1251" s="1" t="s">
        <v>143</v>
      </c>
      <c r="P1251" s="2">
        <v>43788.4166666667</v>
      </c>
      <c r="Q1251" s="1" t="s">
        <v>74</v>
      </c>
      <c r="R1251" s="3">
        <v>43788.0</v>
      </c>
      <c r="S1251" s="1"/>
      <c r="T1251" s="1">
        <v>1505502.0</v>
      </c>
      <c r="U1251" s="1" t="s">
        <v>1313</v>
      </c>
      <c r="V1251" s="1" t="s">
        <v>193</v>
      </c>
      <c r="W1251" s="1" t="s">
        <v>177</v>
      </c>
      <c r="X1251" s="1"/>
      <c r="Y1251" s="1" t="str">
        <f>"02001005602202021"</f>
        <v>02001005602202021</v>
      </c>
      <c r="Z1251" s="1" t="s">
        <v>147</v>
      </c>
      <c r="AA1251" s="1" t="s">
        <v>5293</v>
      </c>
      <c r="AB1251" s="1" t="str">
        <f>"***954512**"</f>
        <v>***954512**</v>
      </c>
      <c r="AC1251" s="1"/>
      <c r="AD1251" s="1"/>
      <c r="AE1251" s="1"/>
      <c r="AF1251" s="1">
        <v>-48.211666</v>
      </c>
      <c r="AG1251" s="1">
        <v>-3.443889</v>
      </c>
      <c r="AH1251" s="1" t="s">
        <v>5294</v>
      </c>
      <c r="AI1251" s="1"/>
      <c r="AJ1251" s="1" t="s">
        <v>172</v>
      </c>
      <c r="AK1251" s="1"/>
      <c r="AL1251" s="1" t="s">
        <v>79</v>
      </c>
      <c r="AM1251" s="1" t="s">
        <v>65</v>
      </c>
      <c r="AN1251" s="1" t="s">
        <v>1395</v>
      </c>
      <c r="AO1251" s="2">
        <v>43892.0</v>
      </c>
      <c r="AP1251" s="2">
        <v>43892.7145023148</v>
      </c>
      <c r="AQ1251" s="1" t="s">
        <v>80</v>
      </c>
      <c r="AR1251" s="1" t="s">
        <v>650</v>
      </c>
      <c r="AS1251" s="1"/>
      <c r="AT1251" s="2">
        <v>44269.931099537</v>
      </c>
    </row>
    <row r="1252" ht="13.5" customHeight="1">
      <c r="A1252" s="1">
        <v>2035029.0</v>
      </c>
      <c r="B1252" s="1" t="s">
        <v>67</v>
      </c>
      <c r="C1252" s="1" t="s">
        <v>68</v>
      </c>
      <c r="D1252" s="1" t="s">
        <v>46</v>
      </c>
      <c r="E1252" s="1" t="s">
        <v>5295</v>
      </c>
      <c r="F1252" s="1"/>
      <c r="G1252" s="1" t="s">
        <v>70</v>
      </c>
      <c r="H1252" s="1" t="s">
        <v>93</v>
      </c>
      <c r="I1252" s="1">
        <v>703500.0</v>
      </c>
      <c r="J1252" s="1"/>
      <c r="K1252" s="1"/>
      <c r="L1252" s="1" t="s">
        <v>172</v>
      </c>
      <c r="M1252" s="1" t="s">
        <v>5296</v>
      </c>
      <c r="N1252" s="1" t="s">
        <v>142</v>
      </c>
      <c r="O1252" s="1" t="s">
        <v>143</v>
      </c>
      <c r="P1252" s="2">
        <v>43788.4166666667</v>
      </c>
      <c r="Q1252" s="1" t="s">
        <v>74</v>
      </c>
      <c r="R1252" s="3">
        <v>43788.0</v>
      </c>
      <c r="S1252" s="1"/>
      <c r="T1252" s="1">
        <v>1506187.0</v>
      </c>
      <c r="U1252" s="1" t="s">
        <v>786</v>
      </c>
      <c r="V1252" s="1" t="s">
        <v>193</v>
      </c>
      <c r="W1252" s="1" t="s">
        <v>177</v>
      </c>
      <c r="X1252" s="1"/>
      <c r="Y1252" s="1" t="str">
        <f>"02001005791202031"</f>
        <v>02001005791202031</v>
      </c>
      <c r="Z1252" s="1" t="s">
        <v>147</v>
      </c>
      <c r="AA1252" s="1" t="s">
        <v>5297</v>
      </c>
      <c r="AB1252" s="1" t="str">
        <f>"***234722**"</f>
        <v>***234722**</v>
      </c>
      <c r="AC1252" s="1"/>
      <c r="AD1252" s="1"/>
      <c r="AE1252" s="1"/>
      <c r="AF1252" s="1">
        <v>-48.169724</v>
      </c>
      <c r="AG1252" s="1">
        <v>-4.219444</v>
      </c>
      <c r="AH1252" s="1" t="s">
        <v>5298</v>
      </c>
      <c r="AI1252" s="1"/>
      <c r="AJ1252" s="1" t="s">
        <v>172</v>
      </c>
      <c r="AK1252" s="1"/>
      <c r="AL1252" s="1" t="s">
        <v>79</v>
      </c>
      <c r="AM1252" s="1" t="s">
        <v>65</v>
      </c>
      <c r="AN1252" s="1" t="s">
        <v>1395</v>
      </c>
      <c r="AO1252" s="2">
        <v>43894.0</v>
      </c>
      <c r="AP1252" s="2">
        <v>43894.3766087963</v>
      </c>
      <c r="AQ1252" s="1" t="s">
        <v>80</v>
      </c>
      <c r="AR1252" s="1" t="s">
        <v>650</v>
      </c>
      <c r="AS1252" s="1"/>
      <c r="AT1252" s="2">
        <v>44269.931099537</v>
      </c>
    </row>
    <row r="1253" ht="13.5" customHeight="1">
      <c r="A1253" s="1">
        <v>2042769.0</v>
      </c>
      <c r="B1253" s="1" t="s">
        <v>67</v>
      </c>
      <c r="C1253" s="1" t="s">
        <v>68</v>
      </c>
      <c r="D1253" s="1" t="s">
        <v>46</v>
      </c>
      <c r="E1253" s="1" t="s">
        <v>5299</v>
      </c>
      <c r="F1253" s="1"/>
      <c r="G1253" s="1" t="s">
        <v>70</v>
      </c>
      <c r="H1253" s="1" t="s">
        <v>93</v>
      </c>
      <c r="I1253" s="1">
        <v>11700.0</v>
      </c>
      <c r="J1253" s="1"/>
      <c r="K1253" s="1"/>
      <c r="L1253" s="1" t="s">
        <v>264</v>
      </c>
      <c r="M1253" s="1" t="s">
        <v>5300</v>
      </c>
      <c r="N1253" s="1" t="s">
        <v>53</v>
      </c>
      <c r="O1253" s="1" t="s">
        <v>54</v>
      </c>
      <c r="P1253" s="2">
        <v>43788.4104166667</v>
      </c>
      <c r="Q1253" s="1" t="s">
        <v>74</v>
      </c>
      <c r="R1253" s="3">
        <v>43794.0</v>
      </c>
      <c r="S1253" s="1"/>
      <c r="T1253" s="1">
        <v>4208203.0</v>
      </c>
      <c r="U1253" s="1" t="s">
        <v>735</v>
      </c>
      <c r="V1253" s="1" t="s">
        <v>267</v>
      </c>
      <c r="W1253" s="1" t="s">
        <v>288</v>
      </c>
      <c r="X1253" s="1"/>
      <c r="Y1253" s="1" t="str">
        <f>"02610001887201919"</f>
        <v>02610001887201919</v>
      </c>
      <c r="Z1253" s="1" t="s">
        <v>60</v>
      </c>
      <c r="AA1253" s="1" t="s">
        <v>5231</v>
      </c>
      <c r="AB1253" s="1" t="str">
        <f t="shared" ref="AB1253:AB1255" si="68">"***378639**"</f>
        <v>***378639**</v>
      </c>
      <c r="AC1253" s="1"/>
      <c r="AD1253" s="1" t="s">
        <v>116</v>
      </c>
      <c r="AE1253" s="1"/>
      <c r="AF1253" s="1">
        <v>-48.671389</v>
      </c>
      <c r="AG1253" s="1">
        <v>-26.919444</v>
      </c>
      <c r="AH1253" s="1" t="s">
        <v>5301</v>
      </c>
      <c r="AI1253" s="1"/>
      <c r="AJ1253" s="1"/>
      <c r="AK1253" s="1"/>
      <c r="AL1253" s="1" t="s">
        <v>118</v>
      </c>
      <c r="AM1253" s="1"/>
      <c r="AN1253" s="1"/>
      <c r="AO1253" s="2">
        <v>44216.7659027778</v>
      </c>
      <c r="AP1253" s="2">
        <v>44216.7659027778</v>
      </c>
      <c r="AQ1253" s="1" t="s">
        <v>80</v>
      </c>
      <c r="AR1253" s="1" t="s">
        <v>5302</v>
      </c>
      <c r="AS1253" s="1"/>
      <c r="AT1253" s="2">
        <v>44269.931099537</v>
      </c>
    </row>
    <row r="1254" ht="13.5" customHeight="1">
      <c r="A1254" s="1">
        <v>2042767.0</v>
      </c>
      <c r="B1254" s="1" t="s">
        <v>67</v>
      </c>
      <c r="C1254" s="1" t="s">
        <v>68</v>
      </c>
      <c r="D1254" s="1" t="s">
        <v>46</v>
      </c>
      <c r="E1254" s="1" t="s">
        <v>5303</v>
      </c>
      <c r="F1254" s="1"/>
      <c r="G1254" s="1" t="s">
        <v>70</v>
      </c>
      <c r="H1254" s="1" t="s">
        <v>93</v>
      </c>
      <c r="I1254" s="1">
        <v>11700.0</v>
      </c>
      <c r="J1254" s="1"/>
      <c r="K1254" s="1"/>
      <c r="L1254" s="1" t="s">
        <v>264</v>
      </c>
      <c r="M1254" s="1" t="s">
        <v>5304</v>
      </c>
      <c r="N1254" s="1" t="s">
        <v>53</v>
      </c>
      <c r="O1254" s="1" t="s">
        <v>54</v>
      </c>
      <c r="P1254" s="2">
        <v>43788.4055555556</v>
      </c>
      <c r="Q1254" s="1" t="s">
        <v>74</v>
      </c>
      <c r="R1254" s="3">
        <v>43794.0</v>
      </c>
      <c r="S1254" s="1"/>
      <c r="T1254" s="1">
        <v>4208203.0</v>
      </c>
      <c r="U1254" s="1" t="s">
        <v>735</v>
      </c>
      <c r="V1254" s="1" t="s">
        <v>267</v>
      </c>
      <c r="W1254" s="1" t="s">
        <v>288</v>
      </c>
      <c r="X1254" s="1"/>
      <c r="Y1254" s="1" t="str">
        <f>"02610001885201920"</f>
        <v>02610001885201920</v>
      </c>
      <c r="Z1254" s="1" t="s">
        <v>60</v>
      </c>
      <c r="AA1254" s="1" t="s">
        <v>5231</v>
      </c>
      <c r="AB1254" s="1" t="str">
        <f t="shared" si="68"/>
        <v>***378639**</v>
      </c>
      <c r="AC1254" s="1"/>
      <c r="AD1254" s="1" t="s">
        <v>116</v>
      </c>
      <c r="AE1254" s="1"/>
      <c r="AF1254" s="1">
        <v>-48.669444</v>
      </c>
      <c r="AG1254" s="1">
        <v>-26.919444</v>
      </c>
      <c r="AH1254" s="1" t="s">
        <v>5305</v>
      </c>
      <c r="AI1254" s="1"/>
      <c r="AJ1254" s="1"/>
      <c r="AK1254" s="1"/>
      <c r="AL1254" s="1" t="s">
        <v>118</v>
      </c>
      <c r="AM1254" s="1"/>
      <c r="AN1254" s="1"/>
      <c r="AO1254" s="2">
        <v>44216.7634490741</v>
      </c>
      <c r="AP1254" s="2">
        <v>44216.7634490741</v>
      </c>
      <c r="AQ1254" s="1" t="s">
        <v>80</v>
      </c>
      <c r="AR1254" s="1" t="s">
        <v>5306</v>
      </c>
      <c r="AS1254" s="1"/>
      <c r="AT1254" s="2">
        <v>44269.931099537</v>
      </c>
    </row>
    <row r="1255" ht="13.5" customHeight="1">
      <c r="A1255" s="1">
        <v>2042773.0</v>
      </c>
      <c r="B1255" s="1" t="s">
        <v>67</v>
      </c>
      <c r="C1255" s="1" t="s">
        <v>68</v>
      </c>
      <c r="D1255" s="1" t="s">
        <v>46</v>
      </c>
      <c r="E1255" s="1" t="s">
        <v>5307</v>
      </c>
      <c r="F1255" s="1"/>
      <c r="G1255" s="1" t="s">
        <v>70</v>
      </c>
      <c r="H1255" s="1" t="s">
        <v>93</v>
      </c>
      <c r="I1255" s="1">
        <v>11700.0</v>
      </c>
      <c r="J1255" s="1"/>
      <c r="K1255" s="1"/>
      <c r="L1255" s="1" t="s">
        <v>264</v>
      </c>
      <c r="M1255" s="1" t="s">
        <v>5308</v>
      </c>
      <c r="N1255" s="1" t="s">
        <v>53</v>
      </c>
      <c r="O1255" s="1" t="s">
        <v>54</v>
      </c>
      <c r="P1255" s="2">
        <v>43788.3888888889</v>
      </c>
      <c r="Q1255" s="1" t="s">
        <v>74</v>
      </c>
      <c r="R1255" s="3">
        <v>43794.0</v>
      </c>
      <c r="S1255" s="1"/>
      <c r="T1255" s="1">
        <v>4208203.0</v>
      </c>
      <c r="U1255" s="1" t="s">
        <v>735</v>
      </c>
      <c r="V1255" s="1" t="s">
        <v>267</v>
      </c>
      <c r="W1255" s="1" t="s">
        <v>288</v>
      </c>
      <c r="X1255" s="1"/>
      <c r="Y1255" s="1" t="str">
        <f>"02610001890201932"</f>
        <v>02610001890201932</v>
      </c>
      <c r="Z1255" s="1" t="s">
        <v>60</v>
      </c>
      <c r="AA1255" s="1" t="s">
        <v>5231</v>
      </c>
      <c r="AB1255" s="1" t="str">
        <f t="shared" si="68"/>
        <v>***378639**</v>
      </c>
      <c r="AC1255" s="1"/>
      <c r="AD1255" s="1" t="s">
        <v>116</v>
      </c>
      <c r="AE1255" s="1"/>
      <c r="AF1255" s="1">
        <v>-48.671389</v>
      </c>
      <c r="AG1255" s="1">
        <v>-26.919444</v>
      </c>
      <c r="AH1255" s="1" t="s">
        <v>5301</v>
      </c>
      <c r="AI1255" s="1"/>
      <c r="AJ1255" s="1"/>
      <c r="AK1255" s="1"/>
      <c r="AL1255" s="1" t="s">
        <v>118</v>
      </c>
      <c r="AM1255" s="1"/>
      <c r="AN1255" s="1"/>
      <c r="AO1255" s="2">
        <v>44216.7756828704</v>
      </c>
      <c r="AP1255" s="2">
        <v>44216.7756828704</v>
      </c>
      <c r="AQ1255" s="1" t="s">
        <v>80</v>
      </c>
      <c r="AR1255" s="1" t="s">
        <v>5302</v>
      </c>
      <c r="AS1255" s="1"/>
      <c r="AT1255" s="2">
        <v>44269.931099537</v>
      </c>
    </row>
    <row r="1256" ht="13.5" customHeight="1">
      <c r="A1256" s="1"/>
      <c r="B1256" s="1" t="s">
        <v>46</v>
      </c>
      <c r="C1256" s="1" t="s">
        <v>47</v>
      </c>
      <c r="D1256" s="1"/>
      <c r="E1256" s="1" t="s">
        <v>5309</v>
      </c>
      <c r="F1256" s="1"/>
      <c r="G1256" s="1" t="s">
        <v>49</v>
      </c>
      <c r="H1256" s="1" t="s">
        <v>93</v>
      </c>
      <c r="I1256" s="1">
        <v>3000.0</v>
      </c>
      <c r="J1256" s="1"/>
      <c r="K1256" s="1"/>
      <c r="L1256" s="1"/>
      <c r="M1256" s="1" t="s">
        <v>5310</v>
      </c>
      <c r="N1256" s="1" t="s">
        <v>142</v>
      </c>
      <c r="O1256" s="1" t="s">
        <v>143</v>
      </c>
      <c r="P1256" s="2">
        <v>43788.3728935185</v>
      </c>
      <c r="Q1256" s="1" t="s">
        <v>373</v>
      </c>
      <c r="R1256" s="1"/>
      <c r="S1256" s="1"/>
      <c r="T1256" s="1">
        <v>5101407.0</v>
      </c>
      <c r="U1256" s="1" t="s">
        <v>1157</v>
      </c>
      <c r="V1256" s="1" t="s">
        <v>164</v>
      </c>
      <c r="W1256" s="1" t="s">
        <v>177</v>
      </c>
      <c r="X1256" s="1"/>
      <c r="Y1256" s="1"/>
      <c r="Z1256" s="1" t="s">
        <v>147</v>
      </c>
      <c r="AA1256" s="1" t="s">
        <v>5078</v>
      </c>
      <c r="AB1256" s="1" t="str">
        <f>"***640981**"</f>
        <v>***640981**</v>
      </c>
      <c r="AC1256" s="1"/>
      <c r="AD1256" s="1" t="s">
        <v>62</v>
      </c>
      <c r="AE1256" s="1"/>
      <c r="AF1256" s="1">
        <v>-58.941669</v>
      </c>
      <c r="AG1256" s="1">
        <v>-1.400833</v>
      </c>
      <c r="AH1256" s="1" t="s">
        <v>5311</v>
      </c>
      <c r="AI1256" s="1"/>
      <c r="AJ1256" s="1" t="s">
        <v>172</v>
      </c>
      <c r="AK1256" s="1"/>
      <c r="AL1256" s="1"/>
      <c r="AM1256" s="1" t="s">
        <v>65</v>
      </c>
      <c r="AN1256" s="1" t="s">
        <v>1395</v>
      </c>
      <c r="AO1256" s="1"/>
      <c r="AP1256" s="2">
        <v>44028.5882638889</v>
      </c>
      <c r="AQ1256" s="1"/>
      <c r="AR1256" s="1" t="s">
        <v>2843</v>
      </c>
      <c r="AS1256" s="1"/>
      <c r="AT1256" s="2">
        <v>44269.931099537</v>
      </c>
    </row>
    <row r="1257" ht="13.5" customHeight="1">
      <c r="A1257" s="1"/>
      <c r="B1257" s="1" t="s">
        <v>46</v>
      </c>
      <c r="C1257" s="1" t="s">
        <v>47</v>
      </c>
      <c r="D1257" s="1"/>
      <c r="E1257" s="1" t="s">
        <v>5312</v>
      </c>
      <c r="F1257" s="1"/>
      <c r="G1257" s="1" t="s">
        <v>49</v>
      </c>
      <c r="H1257" s="1" t="s">
        <v>93</v>
      </c>
      <c r="I1257" s="1">
        <v>5262.0</v>
      </c>
      <c r="J1257" s="1"/>
      <c r="K1257" s="1"/>
      <c r="L1257" s="1"/>
      <c r="M1257" s="1" t="s">
        <v>5313</v>
      </c>
      <c r="N1257" s="1" t="s">
        <v>142</v>
      </c>
      <c r="O1257" s="1" t="s">
        <v>143</v>
      </c>
      <c r="P1257" s="2">
        <v>43788.3118865741</v>
      </c>
      <c r="Q1257" s="1" t="s">
        <v>55</v>
      </c>
      <c r="R1257" s="1"/>
      <c r="S1257" s="1"/>
      <c r="T1257" s="1">
        <v>2929909.0</v>
      </c>
      <c r="U1257" s="1" t="s">
        <v>5314</v>
      </c>
      <c r="V1257" s="1" t="s">
        <v>632</v>
      </c>
      <c r="W1257" s="1" t="s">
        <v>113</v>
      </c>
      <c r="X1257" s="1"/>
      <c r="Y1257" s="1"/>
      <c r="Z1257" s="1" t="s">
        <v>147</v>
      </c>
      <c r="AA1257" s="1" t="s">
        <v>5315</v>
      </c>
      <c r="AB1257" s="1" t="str">
        <f>"10847840000148"</f>
        <v>10847840000148</v>
      </c>
      <c r="AC1257" s="1"/>
      <c r="AD1257" s="1" t="s">
        <v>149</v>
      </c>
      <c r="AE1257" s="1"/>
      <c r="AF1257" s="1">
        <v>-41.770279</v>
      </c>
      <c r="AG1257" s="1">
        <v>-12.423334</v>
      </c>
      <c r="AH1257" s="1" t="s">
        <v>5316</v>
      </c>
      <c r="AI1257" s="1"/>
      <c r="AJ1257" s="1" t="s">
        <v>5317</v>
      </c>
      <c r="AK1257" s="1"/>
      <c r="AL1257" s="1"/>
      <c r="AM1257" s="1" t="s">
        <v>65</v>
      </c>
      <c r="AN1257" s="1"/>
      <c r="AO1257" s="1"/>
      <c r="AP1257" s="2">
        <v>43788.5654513889</v>
      </c>
      <c r="AQ1257" s="1"/>
      <c r="AR1257" s="1" t="s">
        <v>360</v>
      </c>
      <c r="AS1257" s="1" t="s">
        <v>5318</v>
      </c>
      <c r="AT1257" s="2">
        <v>44269.931099537</v>
      </c>
    </row>
    <row r="1258" ht="13.5" customHeight="1">
      <c r="A1258" s="1">
        <v>2039484.0</v>
      </c>
      <c r="B1258" s="1" t="s">
        <v>67</v>
      </c>
      <c r="C1258" s="1" t="s">
        <v>68</v>
      </c>
      <c r="D1258" s="1" t="s">
        <v>46</v>
      </c>
      <c r="E1258" s="1" t="s">
        <v>5319</v>
      </c>
      <c r="F1258" s="1"/>
      <c r="G1258" s="1" t="s">
        <v>70</v>
      </c>
      <c r="H1258" s="1" t="s">
        <v>93</v>
      </c>
      <c r="I1258" s="1">
        <v>113400.0</v>
      </c>
      <c r="J1258" s="1"/>
      <c r="K1258" s="1"/>
      <c r="L1258" s="1" t="s">
        <v>537</v>
      </c>
      <c r="M1258" s="1" t="s">
        <v>5320</v>
      </c>
      <c r="N1258" s="1" t="s">
        <v>142</v>
      </c>
      <c r="O1258" s="1" t="s">
        <v>143</v>
      </c>
      <c r="P1258" s="2">
        <v>43788.125</v>
      </c>
      <c r="Q1258" s="1" t="s">
        <v>373</v>
      </c>
      <c r="R1258" s="3">
        <v>43788.0</v>
      </c>
      <c r="S1258" s="1"/>
      <c r="T1258" s="1">
        <v>2102804.0</v>
      </c>
      <c r="U1258" s="1" t="s">
        <v>4959</v>
      </c>
      <c r="V1258" s="1" t="s">
        <v>540</v>
      </c>
      <c r="W1258" s="1" t="s">
        <v>127</v>
      </c>
      <c r="X1258" s="1"/>
      <c r="Y1258" s="1" t="str">
        <f>"02012002112202043"</f>
        <v>02012002112202043</v>
      </c>
      <c r="Z1258" s="1" t="s">
        <v>147</v>
      </c>
      <c r="AA1258" s="1" t="s">
        <v>5321</v>
      </c>
      <c r="AB1258" s="1" t="str">
        <f>"***949303**"</f>
        <v>***949303**</v>
      </c>
      <c r="AC1258" s="1"/>
      <c r="AD1258" s="1"/>
      <c r="AE1258" s="1"/>
      <c r="AF1258" s="1">
        <v>-47.62833</v>
      </c>
      <c r="AG1258" s="1">
        <v>-7.279167</v>
      </c>
      <c r="AH1258" s="1" t="s">
        <v>5322</v>
      </c>
      <c r="AI1258" s="1"/>
      <c r="AJ1258" s="1" t="s">
        <v>537</v>
      </c>
      <c r="AK1258" s="1"/>
      <c r="AL1258" s="1" t="s">
        <v>79</v>
      </c>
      <c r="AM1258" s="1" t="s">
        <v>65</v>
      </c>
      <c r="AN1258" s="1" t="s">
        <v>4203</v>
      </c>
      <c r="AO1258" s="2">
        <v>44063.0</v>
      </c>
      <c r="AP1258" s="2">
        <v>44063.7372685185</v>
      </c>
      <c r="AQ1258" s="1" t="s">
        <v>80</v>
      </c>
      <c r="AR1258" s="1" t="s">
        <v>3298</v>
      </c>
      <c r="AS1258" s="1"/>
      <c r="AT1258" s="2">
        <v>44269.931099537</v>
      </c>
    </row>
    <row r="1259" ht="13.5" customHeight="1">
      <c r="A1259" s="1"/>
      <c r="B1259" s="1" t="s">
        <v>46</v>
      </c>
      <c r="C1259" s="1" t="s">
        <v>47</v>
      </c>
      <c r="D1259" s="1"/>
      <c r="E1259" s="1" t="s">
        <v>5323</v>
      </c>
      <c r="F1259" s="1"/>
      <c r="G1259" s="1" t="s">
        <v>49</v>
      </c>
      <c r="H1259" s="1" t="s">
        <v>50</v>
      </c>
      <c r="I1259" s="1">
        <v>180000.0</v>
      </c>
      <c r="J1259" s="1"/>
      <c r="K1259" s="1" t="s">
        <v>140</v>
      </c>
      <c r="L1259" s="1"/>
      <c r="M1259" s="1" t="s">
        <v>5324</v>
      </c>
      <c r="N1259" s="1" t="s">
        <v>142</v>
      </c>
      <c r="O1259" s="1" t="s">
        <v>143</v>
      </c>
      <c r="P1259" s="2">
        <v>43788.086087963</v>
      </c>
      <c r="Q1259" s="1" t="s">
        <v>55</v>
      </c>
      <c r="R1259" s="1"/>
      <c r="S1259" s="1"/>
      <c r="T1259" s="1">
        <v>1505064.0</v>
      </c>
      <c r="U1259" s="1" t="s">
        <v>2897</v>
      </c>
      <c r="V1259" s="1" t="s">
        <v>193</v>
      </c>
      <c r="W1259" s="1" t="s">
        <v>177</v>
      </c>
      <c r="X1259" s="1"/>
      <c r="Y1259" s="1"/>
      <c r="Z1259" s="1" t="s">
        <v>147</v>
      </c>
      <c r="AA1259" s="1" t="s">
        <v>5325</v>
      </c>
      <c r="AB1259" s="1" t="str">
        <f>"***296312**"</f>
        <v>***296312**</v>
      </c>
      <c r="AC1259" s="1"/>
      <c r="AD1259" s="1" t="s">
        <v>149</v>
      </c>
      <c r="AE1259" s="1"/>
      <c r="AF1259" s="1">
        <v>-50.716667</v>
      </c>
      <c r="AG1259" s="1">
        <v>-4.316111</v>
      </c>
      <c r="AH1259" s="1" t="s">
        <v>5326</v>
      </c>
      <c r="AI1259" s="1"/>
      <c r="AJ1259" s="1" t="s">
        <v>172</v>
      </c>
      <c r="AK1259" s="1"/>
      <c r="AL1259" s="1"/>
      <c r="AM1259" s="1" t="s">
        <v>65</v>
      </c>
      <c r="AN1259" s="1" t="s">
        <v>1395</v>
      </c>
      <c r="AO1259" s="1"/>
      <c r="AP1259" s="2">
        <v>44123.8842824074</v>
      </c>
      <c r="AQ1259" s="1"/>
      <c r="AR1259" s="1" t="s">
        <v>751</v>
      </c>
      <c r="AS1259" s="1"/>
      <c r="AT1259" s="2">
        <v>44269.931099537</v>
      </c>
    </row>
    <row r="1260" ht="13.5" customHeight="1">
      <c r="A1260" s="1"/>
      <c r="B1260" s="1" t="s">
        <v>46</v>
      </c>
      <c r="C1260" s="1" t="s">
        <v>47</v>
      </c>
      <c r="D1260" s="1"/>
      <c r="E1260" s="1" t="s">
        <v>5327</v>
      </c>
      <c r="F1260" s="1"/>
      <c r="G1260" s="1" t="s">
        <v>49</v>
      </c>
      <c r="H1260" s="1" t="s">
        <v>50</v>
      </c>
      <c r="I1260" s="1">
        <v>210000.0</v>
      </c>
      <c r="J1260" s="1"/>
      <c r="K1260" s="1" t="s">
        <v>51</v>
      </c>
      <c r="L1260" s="1"/>
      <c r="M1260" s="1" t="s">
        <v>5328</v>
      </c>
      <c r="N1260" s="1" t="s">
        <v>142</v>
      </c>
      <c r="O1260" s="1" t="s">
        <v>143</v>
      </c>
      <c r="P1260" s="2">
        <v>43787.9689930556</v>
      </c>
      <c r="Q1260" s="1" t="s">
        <v>55</v>
      </c>
      <c r="R1260" s="1"/>
      <c r="S1260" s="1"/>
      <c r="T1260" s="1">
        <v>1505064.0</v>
      </c>
      <c r="U1260" s="1" t="s">
        <v>2897</v>
      </c>
      <c r="V1260" s="1" t="s">
        <v>193</v>
      </c>
      <c r="W1260" s="1" t="s">
        <v>177</v>
      </c>
      <c r="X1260" s="1"/>
      <c r="Y1260" s="1"/>
      <c r="Z1260" s="1" t="s">
        <v>147</v>
      </c>
      <c r="AA1260" s="1" t="s">
        <v>5329</v>
      </c>
      <c r="AB1260" s="1" t="str">
        <f>"***646302**"</f>
        <v>***646302**</v>
      </c>
      <c r="AC1260" s="1"/>
      <c r="AD1260" s="1" t="s">
        <v>149</v>
      </c>
      <c r="AE1260" s="1"/>
      <c r="AF1260" s="1">
        <v>-50.715557</v>
      </c>
      <c r="AG1260" s="1">
        <v>-4.320278</v>
      </c>
      <c r="AH1260" s="1" t="s">
        <v>5330</v>
      </c>
      <c r="AI1260" s="1"/>
      <c r="AJ1260" s="1" t="s">
        <v>172</v>
      </c>
      <c r="AK1260" s="1"/>
      <c r="AL1260" s="1"/>
      <c r="AM1260" s="1" t="s">
        <v>65</v>
      </c>
      <c r="AN1260" s="1" t="s">
        <v>1395</v>
      </c>
      <c r="AO1260" s="1"/>
      <c r="AP1260" s="2">
        <v>43788.4482523148</v>
      </c>
      <c r="AQ1260" s="1"/>
      <c r="AR1260" s="1" t="s">
        <v>2525</v>
      </c>
      <c r="AS1260" s="1"/>
      <c r="AT1260" s="2">
        <v>44269.931099537</v>
      </c>
    </row>
    <row r="1261" ht="13.5" customHeight="1">
      <c r="A1261" s="1"/>
      <c r="B1261" s="1" t="s">
        <v>46</v>
      </c>
      <c r="C1261" s="1" t="s">
        <v>47</v>
      </c>
      <c r="D1261" s="1"/>
      <c r="E1261" s="1" t="s">
        <v>5331</v>
      </c>
      <c r="F1261" s="1"/>
      <c r="G1261" s="1" t="s">
        <v>49</v>
      </c>
      <c r="H1261" s="1" t="s">
        <v>93</v>
      </c>
      <c r="I1261" s="1">
        <v>1005000.0</v>
      </c>
      <c r="J1261" s="1"/>
      <c r="K1261" s="1"/>
      <c r="L1261" s="1"/>
      <c r="M1261" s="1" t="s">
        <v>5332</v>
      </c>
      <c r="N1261" s="1" t="s">
        <v>142</v>
      </c>
      <c r="O1261" s="1" t="s">
        <v>143</v>
      </c>
      <c r="P1261" s="2">
        <v>43787.9157986111</v>
      </c>
      <c r="Q1261" s="1" t="s">
        <v>55</v>
      </c>
      <c r="R1261" s="1"/>
      <c r="S1261" s="1"/>
      <c r="T1261" s="1">
        <v>1505064.0</v>
      </c>
      <c r="U1261" s="1" t="s">
        <v>2897</v>
      </c>
      <c r="V1261" s="1" t="s">
        <v>193</v>
      </c>
      <c r="W1261" s="1" t="s">
        <v>177</v>
      </c>
      <c r="X1261" s="1"/>
      <c r="Y1261" s="1"/>
      <c r="Z1261" s="1" t="s">
        <v>147</v>
      </c>
      <c r="AA1261" s="1" t="s">
        <v>5325</v>
      </c>
      <c r="AB1261" s="1" t="str">
        <f>"***296312**"</f>
        <v>***296312**</v>
      </c>
      <c r="AC1261" s="1"/>
      <c r="AD1261" s="1" t="s">
        <v>2103</v>
      </c>
      <c r="AE1261" s="1"/>
      <c r="AF1261" s="1">
        <v>-50.716667</v>
      </c>
      <c r="AG1261" s="1">
        <v>-4.316111</v>
      </c>
      <c r="AH1261" s="1" t="s">
        <v>5333</v>
      </c>
      <c r="AI1261" s="1"/>
      <c r="AJ1261" s="1" t="s">
        <v>172</v>
      </c>
      <c r="AK1261" s="1"/>
      <c r="AL1261" s="1"/>
      <c r="AM1261" s="1" t="s">
        <v>65</v>
      </c>
      <c r="AN1261" s="1" t="s">
        <v>1395</v>
      </c>
      <c r="AO1261" s="1"/>
      <c r="AP1261" s="2">
        <v>44123.8841898148</v>
      </c>
      <c r="AQ1261" s="1"/>
      <c r="AR1261" s="1" t="s">
        <v>4932</v>
      </c>
      <c r="AS1261" s="1" t="s">
        <v>4966</v>
      </c>
      <c r="AT1261" s="2">
        <v>44269.931099537</v>
      </c>
    </row>
    <row r="1262" ht="13.5" customHeight="1">
      <c r="A1262" s="1"/>
      <c r="B1262" s="1" t="s">
        <v>46</v>
      </c>
      <c r="C1262" s="1" t="s">
        <v>47</v>
      </c>
      <c r="D1262" s="1"/>
      <c r="E1262" s="1" t="s">
        <v>5334</v>
      </c>
      <c r="F1262" s="1"/>
      <c r="G1262" s="1" t="s">
        <v>49</v>
      </c>
      <c r="H1262" s="1" t="s">
        <v>50</v>
      </c>
      <c r="I1262" s="1">
        <v>100000.0</v>
      </c>
      <c r="J1262" s="1"/>
      <c r="K1262" s="1" t="s">
        <v>140</v>
      </c>
      <c r="L1262" s="1"/>
      <c r="M1262" s="1" t="s">
        <v>5335</v>
      </c>
      <c r="N1262" s="1" t="s">
        <v>123</v>
      </c>
      <c r="O1262" s="1" t="s">
        <v>73</v>
      </c>
      <c r="P1262" s="2">
        <v>43787.8886111111</v>
      </c>
      <c r="Q1262" s="1" t="s">
        <v>55</v>
      </c>
      <c r="R1262" s="1"/>
      <c r="S1262" s="1"/>
      <c r="T1262" s="1">
        <v>5220009.0</v>
      </c>
      <c r="U1262" s="1" t="s">
        <v>5336</v>
      </c>
      <c r="V1262" s="1" t="s">
        <v>375</v>
      </c>
      <c r="W1262" s="1" t="s">
        <v>127</v>
      </c>
      <c r="X1262" s="1"/>
      <c r="Y1262" s="1"/>
      <c r="Z1262" s="1" t="s">
        <v>76</v>
      </c>
      <c r="AA1262" s="1" t="s">
        <v>5337</v>
      </c>
      <c r="AB1262" s="1" t="str">
        <f>"***053771**"</f>
        <v>***053771**</v>
      </c>
      <c r="AC1262" s="1"/>
      <c r="AD1262" s="1" t="s">
        <v>149</v>
      </c>
      <c r="AE1262" s="1"/>
      <c r="AF1262" s="1">
        <v>-47.34972</v>
      </c>
      <c r="AG1262" s="1">
        <v>-14.259444</v>
      </c>
      <c r="AH1262" s="1" t="s">
        <v>5338</v>
      </c>
      <c r="AI1262" s="1"/>
      <c r="AJ1262" s="1" t="s">
        <v>371</v>
      </c>
      <c r="AK1262" s="1"/>
      <c r="AL1262" s="1"/>
      <c r="AM1262" s="1" t="s">
        <v>65</v>
      </c>
      <c r="AN1262" s="1" t="s">
        <v>3712</v>
      </c>
      <c r="AO1262" s="1"/>
      <c r="AP1262" s="2">
        <v>43787.9023726852</v>
      </c>
      <c r="AQ1262" s="1"/>
      <c r="AR1262" s="1" t="s">
        <v>5339</v>
      </c>
      <c r="AS1262" s="1"/>
      <c r="AT1262" s="2">
        <v>44269.931099537</v>
      </c>
    </row>
    <row r="1263" ht="13.5" customHeight="1">
      <c r="A1263" s="1"/>
      <c r="B1263" s="1" t="s">
        <v>46</v>
      </c>
      <c r="C1263" s="1" t="s">
        <v>47</v>
      </c>
      <c r="D1263" s="1"/>
      <c r="E1263" s="1" t="s">
        <v>5340</v>
      </c>
      <c r="F1263" s="1"/>
      <c r="G1263" s="1"/>
      <c r="H1263" s="1" t="s">
        <v>93</v>
      </c>
      <c r="I1263" s="1">
        <v>1237500.0</v>
      </c>
      <c r="J1263" s="1"/>
      <c r="K1263" s="1"/>
      <c r="L1263" s="1"/>
      <c r="M1263" s="1" t="s">
        <v>5341</v>
      </c>
      <c r="N1263" s="1" t="s">
        <v>142</v>
      </c>
      <c r="O1263" s="1" t="s">
        <v>143</v>
      </c>
      <c r="P1263" s="2">
        <v>43787.8303356482</v>
      </c>
      <c r="Q1263" s="1" t="s">
        <v>55</v>
      </c>
      <c r="R1263" s="1"/>
      <c r="S1263" s="1"/>
      <c r="T1263" s="1">
        <v>1505031.0</v>
      </c>
      <c r="U1263" s="1" t="s">
        <v>5123</v>
      </c>
      <c r="V1263" s="1" t="s">
        <v>193</v>
      </c>
      <c r="W1263" s="1" t="s">
        <v>177</v>
      </c>
      <c r="X1263" s="1"/>
      <c r="Y1263" s="1"/>
      <c r="Z1263" s="1" t="s">
        <v>147</v>
      </c>
      <c r="AA1263" s="1" t="s">
        <v>5342</v>
      </c>
      <c r="AB1263" s="1" t="str">
        <f>"***790178**"</f>
        <v>***790178**</v>
      </c>
      <c r="AC1263" s="1"/>
      <c r="AD1263" s="1" t="s">
        <v>2103</v>
      </c>
      <c r="AE1263" s="1"/>
      <c r="AF1263" s="1">
        <v>-55.389999</v>
      </c>
      <c r="AG1263" s="1">
        <v>-6.968334</v>
      </c>
      <c r="AH1263" s="1" t="s">
        <v>5343</v>
      </c>
      <c r="AI1263" s="1"/>
      <c r="AJ1263" s="1" t="s">
        <v>172</v>
      </c>
      <c r="AK1263" s="1"/>
      <c r="AL1263" s="1"/>
      <c r="AM1263" s="1" t="s">
        <v>65</v>
      </c>
      <c r="AN1263" s="1" t="s">
        <v>1395</v>
      </c>
      <c r="AO1263" s="1"/>
      <c r="AP1263" s="2">
        <v>43787.8418287037</v>
      </c>
      <c r="AQ1263" s="1"/>
      <c r="AR1263" s="1" t="s">
        <v>5344</v>
      </c>
      <c r="AS1263" s="1"/>
      <c r="AT1263" s="2">
        <v>44269.931099537</v>
      </c>
    </row>
    <row r="1264" ht="13.5" customHeight="1">
      <c r="A1264" s="1"/>
      <c r="B1264" s="1" t="s">
        <v>46</v>
      </c>
      <c r="C1264" s="1" t="s">
        <v>47</v>
      </c>
      <c r="D1264" s="1"/>
      <c r="E1264" s="1" t="s">
        <v>5345</v>
      </c>
      <c r="F1264" s="1"/>
      <c r="G1264" s="1"/>
      <c r="H1264" s="1" t="s">
        <v>93</v>
      </c>
      <c r="I1264" s="1">
        <v>7407000.0</v>
      </c>
      <c r="J1264" s="1"/>
      <c r="K1264" s="1"/>
      <c r="L1264" s="1"/>
      <c r="M1264" s="1" t="s">
        <v>5346</v>
      </c>
      <c r="N1264" s="1" t="s">
        <v>142</v>
      </c>
      <c r="O1264" s="1" t="s">
        <v>143</v>
      </c>
      <c r="P1264" s="2">
        <v>43787.8180208333</v>
      </c>
      <c r="Q1264" s="1" t="s">
        <v>373</v>
      </c>
      <c r="R1264" s="1"/>
      <c r="S1264" s="1"/>
      <c r="T1264" s="1">
        <v>1505031.0</v>
      </c>
      <c r="U1264" s="1" t="s">
        <v>5123</v>
      </c>
      <c r="V1264" s="1" t="s">
        <v>193</v>
      </c>
      <c r="W1264" s="1" t="s">
        <v>177</v>
      </c>
      <c r="X1264" s="1"/>
      <c r="Y1264" s="1"/>
      <c r="Z1264" s="1" t="s">
        <v>147</v>
      </c>
      <c r="AA1264" s="1" t="s">
        <v>5347</v>
      </c>
      <c r="AB1264" s="1" t="str">
        <f>"***692211**"</f>
        <v>***692211**</v>
      </c>
      <c r="AC1264" s="1"/>
      <c r="AD1264" s="1" t="s">
        <v>2103</v>
      </c>
      <c r="AE1264" s="1"/>
      <c r="AF1264" s="1">
        <v>-55.204166</v>
      </c>
      <c r="AG1264" s="1">
        <v>-6.235278</v>
      </c>
      <c r="AH1264" s="1" t="s">
        <v>5348</v>
      </c>
      <c r="AI1264" s="1"/>
      <c r="AJ1264" s="1" t="s">
        <v>172</v>
      </c>
      <c r="AK1264" s="1"/>
      <c r="AL1264" s="1"/>
      <c r="AM1264" s="1" t="s">
        <v>65</v>
      </c>
      <c r="AN1264" s="1" t="s">
        <v>1395</v>
      </c>
      <c r="AO1264" s="1"/>
      <c r="AP1264" s="2">
        <v>43787.8474768519</v>
      </c>
      <c r="AQ1264" s="1"/>
      <c r="AR1264" s="1" t="s">
        <v>5243</v>
      </c>
      <c r="AS1264" s="1"/>
      <c r="AT1264" s="2">
        <v>44269.931099537</v>
      </c>
    </row>
    <row r="1265" ht="13.5" customHeight="1">
      <c r="A1265" s="1"/>
      <c r="B1265" s="1" t="s">
        <v>46</v>
      </c>
      <c r="C1265" s="1" t="s">
        <v>47</v>
      </c>
      <c r="D1265" s="1"/>
      <c r="E1265" s="1" t="s">
        <v>5349</v>
      </c>
      <c r="F1265" s="1"/>
      <c r="G1265" s="1"/>
      <c r="H1265" s="1" t="s">
        <v>93</v>
      </c>
      <c r="I1265" s="1">
        <v>3472500.0</v>
      </c>
      <c r="J1265" s="1"/>
      <c r="K1265" s="1"/>
      <c r="L1265" s="1"/>
      <c r="M1265" s="1" t="s">
        <v>5350</v>
      </c>
      <c r="N1265" s="1" t="s">
        <v>142</v>
      </c>
      <c r="O1265" s="1" t="s">
        <v>143</v>
      </c>
      <c r="P1265" s="2">
        <v>43787.8125347222</v>
      </c>
      <c r="Q1265" s="1" t="s">
        <v>74</v>
      </c>
      <c r="R1265" s="3">
        <v>43787.0</v>
      </c>
      <c r="S1265" s="1"/>
      <c r="T1265" s="1">
        <v>1505031.0</v>
      </c>
      <c r="U1265" s="1" t="s">
        <v>5123</v>
      </c>
      <c r="V1265" s="1" t="s">
        <v>193</v>
      </c>
      <c r="W1265" s="1" t="s">
        <v>177</v>
      </c>
      <c r="X1265" s="1"/>
      <c r="Y1265" s="1"/>
      <c r="Z1265" s="1" t="s">
        <v>147</v>
      </c>
      <c r="AA1265" s="1" t="s">
        <v>5351</v>
      </c>
      <c r="AB1265" s="1" t="str">
        <f>"***867049**"</f>
        <v>***867049**</v>
      </c>
      <c r="AC1265" s="1"/>
      <c r="AD1265" s="1" t="s">
        <v>2103</v>
      </c>
      <c r="AE1265" s="1"/>
      <c r="AF1265" s="1">
        <v>-55.426113</v>
      </c>
      <c r="AG1265" s="1">
        <v>-6.576389</v>
      </c>
      <c r="AH1265" s="1" t="s">
        <v>5352</v>
      </c>
      <c r="AI1265" s="1"/>
      <c r="AJ1265" s="1" t="s">
        <v>172</v>
      </c>
      <c r="AK1265" s="1"/>
      <c r="AL1265" s="1"/>
      <c r="AM1265" s="1" t="s">
        <v>65</v>
      </c>
      <c r="AN1265" s="1" t="s">
        <v>1395</v>
      </c>
      <c r="AO1265" s="1"/>
      <c r="AP1265" s="2">
        <v>43787.8245949074</v>
      </c>
      <c r="AQ1265" s="1"/>
      <c r="AR1265" s="1" t="s">
        <v>644</v>
      </c>
      <c r="AS1265" s="1" t="s">
        <v>5353</v>
      </c>
      <c r="AT1265" s="2">
        <v>44269.931099537</v>
      </c>
    </row>
    <row r="1266" ht="13.5" customHeight="1">
      <c r="A1266" s="1"/>
      <c r="B1266" s="1" t="s">
        <v>46</v>
      </c>
      <c r="C1266" s="1" t="s">
        <v>47</v>
      </c>
      <c r="D1266" s="1"/>
      <c r="E1266" s="1" t="s">
        <v>5354</v>
      </c>
      <c r="F1266" s="1"/>
      <c r="G1266" s="1" t="s">
        <v>49</v>
      </c>
      <c r="H1266" s="1" t="s">
        <v>93</v>
      </c>
      <c r="I1266" s="1">
        <v>2346.9</v>
      </c>
      <c r="J1266" s="1"/>
      <c r="K1266" s="1"/>
      <c r="L1266" s="1"/>
      <c r="M1266" s="1" t="s">
        <v>5355</v>
      </c>
      <c r="N1266" s="1" t="s">
        <v>142</v>
      </c>
      <c r="O1266" s="1" t="s">
        <v>143</v>
      </c>
      <c r="P1266" s="2">
        <v>43787.7654166667</v>
      </c>
      <c r="Q1266" s="1" t="s">
        <v>373</v>
      </c>
      <c r="R1266" s="1"/>
      <c r="S1266" s="1"/>
      <c r="T1266" s="1">
        <v>2109452.0</v>
      </c>
      <c r="U1266" s="1" t="s">
        <v>5356</v>
      </c>
      <c r="V1266" s="1" t="s">
        <v>540</v>
      </c>
      <c r="W1266" s="1" t="s">
        <v>177</v>
      </c>
      <c r="X1266" s="1"/>
      <c r="Y1266" s="1"/>
      <c r="Z1266" s="1" t="s">
        <v>147</v>
      </c>
      <c r="AA1266" s="1" t="s">
        <v>5357</v>
      </c>
      <c r="AB1266" s="1" t="str">
        <f>"33821092000120"</f>
        <v>33821092000120</v>
      </c>
      <c r="AC1266" s="1"/>
      <c r="AD1266" s="1" t="s">
        <v>149</v>
      </c>
      <c r="AE1266" s="1"/>
      <c r="AF1266" s="1">
        <v>-4.163055</v>
      </c>
      <c r="AG1266" s="1">
        <v>-2.463889</v>
      </c>
      <c r="AH1266" s="1" t="s">
        <v>5358</v>
      </c>
      <c r="AI1266" s="1"/>
      <c r="AJ1266" s="1" t="s">
        <v>537</v>
      </c>
      <c r="AK1266" s="1"/>
      <c r="AL1266" s="1"/>
      <c r="AM1266" s="1" t="s">
        <v>65</v>
      </c>
      <c r="AN1266" s="1" t="s">
        <v>4203</v>
      </c>
      <c r="AO1266" s="1"/>
      <c r="AP1266" s="2">
        <v>43796.5423032407</v>
      </c>
      <c r="AQ1266" s="1"/>
      <c r="AR1266" s="1" t="s">
        <v>360</v>
      </c>
      <c r="AS1266" s="1"/>
      <c r="AT1266" s="2">
        <v>44269.931099537</v>
      </c>
    </row>
    <row r="1267" ht="13.5" customHeight="1">
      <c r="A1267" s="1"/>
      <c r="B1267" s="1" t="s">
        <v>46</v>
      </c>
      <c r="C1267" s="1" t="s">
        <v>47</v>
      </c>
      <c r="D1267" s="1"/>
      <c r="E1267" s="1" t="s">
        <v>5359</v>
      </c>
      <c r="F1267" s="1"/>
      <c r="G1267" s="1" t="s">
        <v>49</v>
      </c>
      <c r="H1267" s="1" t="s">
        <v>93</v>
      </c>
      <c r="I1267" s="1">
        <v>1792500.0</v>
      </c>
      <c r="J1267" s="1"/>
      <c r="K1267" s="1"/>
      <c r="L1267" s="1"/>
      <c r="M1267" s="1" t="s">
        <v>5360</v>
      </c>
      <c r="N1267" s="1" t="s">
        <v>142</v>
      </c>
      <c r="O1267" s="1" t="s">
        <v>143</v>
      </c>
      <c r="P1267" s="2">
        <v>43787.7624074074</v>
      </c>
      <c r="Q1267" s="1" t="s">
        <v>55</v>
      </c>
      <c r="R1267" s="1"/>
      <c r="S1267" s="1"/>
      <c r="T1267" s="1">
        <v>1505064.0</v>
      </c>
      <c r="U1267" s="1" t="s">
        <v>2897</v>
      </c>
      <c r="V1267" s="1" t="s">
        <v>193</v>
      </c>
      <c r="W1267" s="1" t="s">
        <v>177</v>
      </c>
      <c r="X1267" s="1"/>
      <c r="Y1267" s="1"/>
      <c r="Z1267" s="1" t="s">
        <v>147</v>
      </c>
      <c r="AA1267" s="1" t="s">
        <v>5361</v>
      </c>
      <c r="AB1267" s="1" t="str">
        <f>"***491182**"</f>
        <v>***491182**</v>
      </c>
      <c r="AC1267" s="1"/>
      <c r="AD1267" s="1" t="s">
        <v>2103</v>
      </c>
      <c r="AE1267" s="1"/>
      <c r="AF1267" s="1">
        <v>-50.746944</v>
      </c>
      <c r="AG1267" s="1">
        <v>-4.3325</v>
      </c>
      <c r="AH1267" s="1" t="s">
        <v>5362</v>
      </c>
      <c r="AI1267" s="1"/>
      <c r="AJ1267" s="1" t="s">
        <v>172</v>
      </c>
      <c r="AK1267" s="1"/>
      <c r="AL1267" s="1"/>
      <c r="AM1267" s="1" t="s">
        <v>65</v>
      </c>
      <c r="AN1267" s="1" t="s">
        <v>1395</v>
      </c>
      <c r="AO1267" s="1"/>
      <c r="AP1267" s="2">
        <v>43787.7830439815</v>
      </c>
      <c r="AQ1267" s="1"/>
      <c r="AR1267" s="1" t="s">
        <v>871</v>
      </c>
      <c r="AS1267" s="1" t="s">
        <v>5363</v>
      </c>
      <c r="AT1267" s="2">
        <v>44269.931099537</v>
      </c>
    </row>
    <row r="1268" ht="13.5" customHeight="1">
      <c r="A1268" s="1"/>
      <c r="B1268" s="1" t="s">
        <v>46</v>
      </c>
      <c r="C1268" s="1" t="s">
        <v>47</v>
      </c>
      <c r="D1268" s="1"/>
      <c r="E1268" s="1" t="s">
        <v>5364</v>
      </c>
      <c r="F1268" s="1"/>
      <c r="G1268" s="1" t="s">
        <v>49</v>
      </c>
      <c r="H1268" s="1" t="s">
        <v>93</v>
      </c>
      <c r="I1268" s="1">
        <v>500.0</v>
      </c>
      <c r="J1268" s="1"/>
      <c r="K1268" s="1"/>
      <c r="L1268" s="1"/>
      <c r="M1268" s="1" t="s">
        <v>5365</v>
      </c>
      <c r="N1268" s="1" t="s">
        <v>95</v>
      </c>
      <c r="O1268" s="1" t="s">
        <v>96</v>
      </c>
      <c r="P1268" s="2">
        <v>43787.637962963</v>
      </c>
      <c r="Q1268" s="1" t="s">
        <v>373</v>
      </c>
      <c r="R1268" s="1"/>
      <c r="S1268" s="1"/>
      <c r="T1268" s="1">
        <v>1200401.0</v>
      </c>
      <c r="U1268" s="1" t="s">
        <v>5366</v>
      </c>
      <c r="V1268" s="1" t="s">
        <v>498</v>
      </c>
      <c r="W1268" s="1" t="s">
        <v>177</v>
      </c>
      <c r="X1268" s="1"/>
      <c r="Y1268" s="1"/>
      <c r="Z1268" s="1" t="s">
        <v>98</v>
      </c>
      <c r="AA1268" s="1" t="s">
        <v>5367</v>
      </c>
      <c r="AB1268" s="1" t="str">
        <f>"***045432**"</f>
        <v>***045432**</v>
      </c>
      <c r="AC1268" s="1"/>
      <c r="AD1268" s="1" t="s">
        <v>62</v>
      </c>
      <c r="AE1268" s="1"/>
      <c r="AF1268" s="1">
        <v>-67.822777</v>
      </c>
      <c r="AG1268" s="1">
        <v>-9.969999</v>
      </c>
      <c r="AH1268" s="1" t="s">
        <v>5368</v>
      </c>
      <c r="AI1268" s="1"/>
      <c r="AJ1268" s="1" t="s">
        <v>3322</v>
      </c>
      <c r="AK1268" s="1"/>
      <c r="AL1268" s="1"/>
      <c r="AM1268" s="1" t="s">
        <v>65</v>
      </c>
      <c r="AN1268" s="1" t="s">
        <v>3305</v>
      </c>
      <c r="AO1268" s="1"/>
      <c r="AP1268" s="2">
        <v>43787.6840393519</v>
      </c>
      <c r="AQ1268" s="1"/>
      <c r="AR1268" s="1" t="s">
        <v>5369</v>
      </c>
      <c r="AS1268" s="1"/>
      <c r="AT1268" s="2">
        <v>44269.931099537</v>
      </c>
    </row>
    <row r="1269" ht="13.5" customHeight="1">
      <c r="A1269" s="1">
        <v>2036944.0</v>
      </c>
      <c r="B1269" s="1" t="s">
        <v>67</v>
      </c>
      <c r="C1269" s="1" t="s">
        <v>68</v>
      </c>
      <c r="D1269" s="1" t="s">
        <v>46</v>
      </c>
      <c r="E1269" s="1" t="s">
        <v>5370</v>
      </c>
      <c r="F1269" s="1"/>
      <c r="G1269" s="1" t="s">
        <v>70</v>
      </c>
      <c r="H1269" s="1" t="s">
        <v>50</v>
      </c>
      <c r="I1269" s="1">
        <v>300000.0</v>
      </c>
      <c r="J1269" s="1"/>
      <c r="K1269" s="1"/>
      <c r="L1269" s="1" t="s">
        <v>65</v>
      </c>
      <c r="M1269" s="1" t="s">
        <v>5371</v>
      </c>
      <c r="N1269" s="1" t="s">
        <v>72</v>
      </c>
      <c r="O1269" s="1" t="s">
        <v>213</v>
      </c>
      <c r="P1269" s="2">
        <v>43787.625</v>
      </c>
      <c r="Q1269" s="1" t="s">
        <v>74</v>
      </c>
      <c r="R1269" s="3">
        <v>43788.0</v>
      </c>
      <c r="S1269" s="1"/>
      <c r="T1269" s="1">
        <v>3304557.0</v>
      </c>
      <c r="U1269" s="1" t="s">
        <v>286</v>
      </c>
      <c r="V1269" s="1" t="s">
        <v>287</v>
      </c>
      <c r="W1269" s="1" t="s">
        <v>288</v>
      </c>
      <c r="X1269" s="1"/>
      <c r="Y1269" s="1" t="str">
        <f>"02027018025201913"</f>
        <v>02027018025201913</v>
      </c>
      <c r="Z1269" s="1" t="s">
        <v>215</v>
      </c>
      <c r="AA1269" s="1" t="s">
        <v>907</v>
      </c>
      <c r="AB1269" s="1" t="str">
        <f t="shared" ref="AB1269:AB1270" si="69">"33000167000292"</f>
        <v>33000167000292</v>
      </c>
      <c r="AC1269" s="1"/>
      <c r="AD1269" s="1" t="s">
        <v>116</v>
      </c>
      <c r="AE1269" s="1"/>
      <c r="AF1269" s="1">
        <v>-40.676667</v>
      </c>
      <c r="AG1269" s="1">
        <v>-22.701389</v>
      </c>
      <c r="AH1269" s="1" t="s">
        <v>5372</v>
      </c>
      <c r="AI1269" s="1"/>
      <c r="AJ1269" s="1" t="s">
        <v>172</v>
      </c>
      <c r="AK1269" s="1" t="s">
        <v>1564</v>
      </c>
      <c r="AL1269" s="1" t="s">
        <v>79</v>
      </c>
      <c r="AM1269" s="1" t="s">
        <v>65</v>
      </c>
      <c r="AN1269" s="1" t="s">
        <v>5373</v>
      </c>
      <c r="AO1269" s="2">
        <v>43980.0</v>
      </c>
      <c r="AP1269" s="2">
        <v>43980.4877314815</v>
      </c>
      <c r="AQ1269" s="1" t="s">
        <v>80</v>
      </c>
      <c r="AR1269" s="1" t="s">
        <v>4024</v>
      </c>
      <c r="AS1269" s="1"/>
      <c r="AT1269" s="2">
        <v>44269.931099537</v>
      </c>
    </row>
    <row r="1270" ht="13.5" customHeight="1">
      <c r="A1270" s="1">
        <v>2037052.0</v>
      </c>
      <c r="B1270" s="1" t="s">
        <v>67</v>
      </c>
      <c r="C1270" s="1" t="s">
        <v>68</v>
      </c>
      <c r="D1270" s="1" t="s">
        <v>46</v>
      </c>
      <c r="E1270" s="1" t="s">
        <v>5374</v>
      </c>
      <c r="F1270" s="1"/>
      <c r="G1270" s="1" t="s">
        <v>70</v>
      </c>
      <c r="H1270" s="1" t="s">
        <v>50</v>
      </c>
      <c r="I1270" s="1">
        <v>100000.0</v>
      </c>
      <c r="J1270" s="1"/>
      <c r="K1270" s="1"/>
      <c r="L1270" s="1" t="s">
        <v>65</v>
      </c>
      <c r="M1270" s="1" t="s">
        <v>5375</v>
      </c>
      <c r="N1270" s="1" t="s">
        <v>72</v>
      </c>
      <c r="O1270" s="1" t="s">
        <v>213</v>
      </c>
      <c r="P1270" s="2">
        <v>43787.625</v>
      </c>
      <c r="Q1270" s="1" t="s">
        <v>74</v>
      </c>
      <c r="R1270" s="3">
        <v>43788.0</v>
      </c>
      <c r="S1270" s="1"/>
      <c r="T1270" s="1">
        <v>3304557.0</v>
      </c>
      <c r="U1270" s="1" t="s">
        <v>286</v>
      </c>
      <c r="V1270" s="1" t="s">
        <v>287</v>
      </c>
      <c r="W1270" s="1" t="s">
        <v>288</v>
      </c>
      <c r="X1270" s="1"/>
      <c r="Y1270" s="1" t="str">
        <f>"02027018031201962"</f>
        <v>02027018031201962</v>
      </c>
      <c r="Z1270" s="1" t="s">
        <v>215</v>
      </c>
      <c r="AA1270" s="1" t="s">
        <v>907</v>
      </c>
      <c r="AB1270" s="1" t="str">
        <f t="shared" si="69"/>
        <v>33000167000292</v>
      </c>
      <c r="AC1270" s="1"/>
      <c r="AD1270" s="1" t="s">
        <v>116</v>
      </c>
      <c r="AE1270" s="1"/>
      <c r="AF1270" s="1">
        <v>-40.676667</v>
      </c>
      <c r="AG1270" s="1">
        <v>-22.701389</v>
      </c>
      <c r="AH1270" s="1" t="s">
        <v>5376</v>
      </c>
      <c r="AI1270" s="1"/>
      <c r="AJ1270" s="1" t="s">
        <v>172</v>
      </c>
      <c r="AK1270" s="1" t="s">
        <v>5377</v>
      </c>
      <c r="AL1270" s="1" t="s">
        <v>79</v>
      </c>
      <c r="AM1270" s="1" t="s">
        <v>65</v>
      </c>
      <c r="AN1270" s="1" t="s">
        <v>5373</v>
      </c>
      <c r="AO1270" s="2">
        <v>43983.0</v>
      </c>
      <c r="AP1270" s="2">
        <v>43983.6719444445</v>
      </c>
      <c r="AQ1270" s="1" t="s">
        <v>80</v>
      </c>
      <c r="AR1270" s="1" t="s">
        <v>4024</v>
      </c>
      <c r="AS1270" s="1"/>
      <c r="AT1270" s="2">
        <v>44269.931099537</v>
      </c>
    </row>
    <row r="1271" ht="13.5" customHeight="1">
      <c r="A1271" s="1"/>
      <c r="B1271" s="1" t="s">
        <v>46</v>
      </c>
      <c r="C1271" s="1" t="s">
        <v>47</v>
      </c>
      <c r="D1271" s="1"/>
      <c r="E1271" s="1" t="s">
        <v>5378</v>
      </c>
      <c r="F1271" s="1"/>
      <c r="G1271" s="1"/>
      <c r="H1271" s="1" t="s">
        <v>93</v>
      </c>
      <c r="I1271" s="1">
        <v>1242000.0</v>
      </c>
      <c r="J1271" s="1"/>
      <c r="K1271" s="1"/>
      <c r="L1271" s="1"/>
      <c r="M1271" s="1" t="s">
        <v>5379</v>
      </c>
      <c r="N1271" s="1" t="s">
        <v>142</v>
      </c>
      <c r="O1271" s="1" t="s">
        <v>143</v>
      </c>
      <c r="P1271" s="2">
        <v>43787.5892939815</v>
      </c>
      <c r="Q1271" s="1" t="s">
        <v>373</v>
      </c>
      <c r="R1271" s="1"/>
      <c r="S1271" s="1"/>
      <c r="T1271" s="1">
        <v>1505031.0</v>
      </c>
      <c r="U1271" s="1" t="s">
        <v>5123</v>
      </c>
      <c r="V1271" s="1" t="s">
        <v>193</v>
      </c>
      <c r="W1271" s="1" t="s">
        <v>177</v>
      </c>
      <c r="X1271" s="1"/>
      <c r="Y1271" s="1"/>
      <c r="Z1271" s="1" t="s">
        <v>147</v>
      </c>
      <c r="AA1271" s="1" t="s">
        <v>5380</v>
      </c>
      <c r="AB1271" s="1" t="str">
        <f>"***764699**"</f>
        <v>***764699**</v>
      </c>
      <c r="AC1271" s="1"/>
      <c r="AD1271" s="1" t="s">
        <v>116</v>
      </c>
      <c r="AE1271" s="1"/>
      <c r="AF1271" s="1">
        <v>-55.675831</v>
      </c>
      <c r="AG1271" s="1">
        <v>-6.998889</v>
      </c>
      <c r="AH1271" s="1" t="s">
        <v>5381</v>
      </c>
      <c r="AI1271" s="1"/>
      <c r="AJ1271" s="1" t="s">
        <v>172</v>
      </c>
      <c r="AK1271" s="1"/>
      <c r="AL1271" s="1"/>
      <c r="AM1271" s="1" t="s">
        <v>65</v>
      </c>
      <c r="AN1271" s="1" t="s">
        <v>1395</v>
      </c>
      <c r="AO1271" s="1"/>
      <c r="AP1271" s="2">
        <v>43787.6141550926</v>
      </c>
      <c r="AQ1271" s="1"/>
      <c r="AR1271" s="1" t="s">
        <v>2105</v>
      </c>
      <c r="AS1271" s="1" t="s">
        <v>170</v>
      </c>
      <c r="AT1271" s="2">
        <v>44269.931099537</v>
      </c>
    </row>
    <row r="1272" ht="13.5" customHeight="1">
      <c r="A1272" s="1">
        <v>2043528.0</v>
      </c>
      <c r="B1272" s="1" t="s">
        <v>67</v>
      </c>
      <c r="C1272" s="1" t="s">
        <v>68</v>
      </c>
      <c r="D1272" s="1" t="s">
        <v>46</v>
      </c>
      <c r="E1272" s="1" t="s">
        <v>5382</v>
      </c>
      <c r="F1272" s="1"/>
      <c r="G1272" s="1" t="s">
        <v>70</v>
      </c>
      <c r="H1272" s="1" t="s">
        <v>50</v>
      </c>
      <c r="I1272" s="1">
        <v>61000.0</v>
      </c>
      <c r="J1272" s="1"/>
      <c r="K1272" s="1"/>
      <c r="L1272" s="1" t="s">
        <v>1172</v>
      </c>
      <c r="M1272" s="1" t="s">
        <v>5383</v>
      </c>
      <c r="N1272" s="1" t="s">
        <v>72</v>
      </c>
      <c r="O1272" s="1" t="s">
        <v>73</v>
      </c>
      <c r="P1272" s="2">
        <v>43787.5833333333</v>
      </c>
      <c r="Q1272" s="1" t="s">
        <v>373</v>
      </c>
      <c r="R1272" s="3">
        <v>43787.0</v>
      </c>
      <c r="S1272" s="1" t="s">
        <v>5384</v>
      </c>
      <c r="T1272" s="1">
        <v>1505486.0</v>
      </c>
      <c r="U1272" s="1" t="s">
        <v>3446</v>
      </c>
      <c r="V1272" s="1" t="s">
        <v>193</v>
      </c>
      <c r="W1272" s="1" t="s">
        <v>177</v>
      </c>
      <c r="X1272" s="1"/>
      <c r="Y1272" s="1"/>
      <c r="Z1272" s="1" t="s">
        <v>76</v>
      </c>
      <c r="AA1272" s="1" t="s">
        <v>5385</v>
      </c>
      <c r="AB1272" s="1" t="str">
        <f t="shared" ref="AB1272:AB1273" si="70">"***101322**"</f>
        <v>***101322**</v>
      </c>
      <c r="AC1272" s="1"/>
      <c r="AD1272" s="1"/>
      <c r="AE1272" s="1"/>
      <c r="AF1272" s="1">
        <v>-50.198556</v>
      </c>
      <c r="AG1272" s="1">
        <v>-3.773583</v>
      </c>
      <c r="AH1272" s="1" t="s">
        <v>5386</v>
      </c>
      <c r="AI1272" s="1"/>
      <c r="AJ1272" s="1" t="s">
        <v>1172</v>
      </c>
      <c r="AK1272" s="1"/>
      <c r="AL1272" s="1" t="s">
        <v>79</v>
      </c>
      <c r="AM1272" s="1" t="s">
        <v>65</v>
      </c>
      <c r="AN1272" s="1" t="s">
        <v>3087</v>
      </c>
      <c r="AO1272" s="2">
        <v>44244.0</v>
      </c>
      <c r="AP1272" s="2">
        <v>44244.5903356481</v>
      </c>
      <c r="AQ1272" s="1" t="s">
        <v>80</v>
      </c>
      <c r="AR1272" s="1" t="s">
        <v>1607</v>
      </c>
      <c r="AS1272" s="1"/>
      <c r="AT1272" s="2">
        <v>44269.931099537</v>
      </c>
    </row>
    <row r="1273" ht="13.5" customHeight="1">
      <c r="A1273" s="1">
        <v>2043529.0</v>
      </c>
      <c r="B1273" s="1" t="s">
        <v>67</v>
      </c>
      <c r="C1273" s="1" t="s">
        <v>68</v>
      </c>
      <c r="D1273" s="1" t="s">
        <v>46</v>
      </c>
      <c r="E1273" s="1" t="s">
        <v>5387</v>
      </c>
      <c r="F1273" s="1"/>
      <c r="G1273" s="1" t="s">
        <v>70</v>
      </c>
      <c r="H1273" s="1" t="s">
        <v>93</v>
      </c>
      <c r="I1273" s="1">
        <v>60000.0</v>
      </c>
      <c r="J1273" s="1"/>
      <c r="K1273" s="1"/>
      <c r="L1273" s="1" t="s">
        <v>1172</v>
      </c>
      <c r="M1273" s="1" t="s">
        <v>5388</v>
      </c>
      <c r="N1273" s="1" t="s">
        <v>142</v>
      </c>
      <c r="O1273" s="1" t="s">
        <v>143</v>
      </c>
      <c r="P1273" s="2">
        <v>43787.5833333333</v>
      </c>
      <c r="Q1273" s="1" t="s">
        <v>373</v>
      </c>
      <c r="R1273" s="3">
        <v>43787.0</v>
      </c>
      <c r="S1273" s="1" t="s">
        <v>5384</v>
      </c>
      <c r="T1273" s="1">
        <v>1505486.0</v>
      </c>
      <c r="U1273" s="1" t="s">
        <v>3446</v>
      </c>
      <c r="V1273" s="1" t="s">
        <v>193</v>
      </c>
      <c r="W1273" s="1" t="s">
        <v>177</v>
      </c>
      <c r="X1273" s="1"/>
      <c r="Y1273" s="1"/>
      <c r="Z1273" s="1" t="s">
        <v>147</v>
      </c>
      <c r="AA1273" s="1" t="s">
        <v>5385</v>
      </c>
      <c r="AB1273" s="1" t="str">
        <f t="shared" si="70"/>
        <v>***101322**</v>
      </c>
      <c r="AC1273" s="1"/>
      <c r="AD1273" s="1"/>
      <c r="AE1273" s="1"/>
      <c r="AF1273" s="1">
        <v>-50.198556</v>
      </c>
      <c r="AG1273" s="1">
        <v>-3.773583</v>
      </c>
      <c r="AH1273" s="1" t="s">
        <v>5389</v>
      </c>
      <c r="AI1273" s="1"/>
      <c r="AJ1273" s="1" t="s">
        <v>1172</v>
      </c>
      <c r="AK1273" s="1"/>
      <c r="AL1273" s="1" t="s">
        <v>79</v>
      </c>
      <c r="AM1273" s="1" t="s">
        <v>65</v>
      </c>
      <c r="AN1273" s="1" t="s">
        <v>3087</v>
      </c>
      <c r="AO1273" s="2">
        <v>44244.0</v>
      </c>
      <c r="AP1273" s="2">
        <v>44244.5919560185</v>
      </c>
      <c r="AQ1273" s="1" t="s">
        <v>80</v>
      </c>
      <c r="AR1273" s="1" t="s">
        <v>392</v>
      </c>
      <c r="AS1273" s="1"/>
      <c r="AT1273" s="2">
        <v>44269.931099537</v>
      </c>
    </row>
    <row r="1274" ht="13.5" customHeight="1">
      <c r="A1274" s="1"/>
      <c r="B1274" s="1" t="s">
        <v>46</v>
      </c>
      <c r="C1274" s="1" t="s">
        <v>47</v>
      </c>
      <c r="D1274" s="1"/>
      <c r="E1274" s="1" t="s">
        <v>5390</v>
      </c>
      <c r="F1274" s="1"/>
      <c r="G1274" s="1"/>
      <c r="H1274" s="1" t="s">
        <v>93</v>
      </c>
      <c r="I1274" s="1">
        <v>4260000.0</v>
      </c>
      <c r="J1274" s="1"/>
      <c r="K1274" s="1"/>
      <c r="L1274" s="1"/>
      <c r="M1274" s="1" t="s">
        <v>5391</v>
      </c>
      <c r="N1274" s="1" t="s">
        <v>142</v>
      </c>
      <c r="O1274" s="1" t="s">
        <v>143</v>
      </c>
      <c r="P1274" s="2">
        <v>43787.5424074074</v>
      </c>
      <c r="Q1274" s="1" t="s">
        <v>74</v>
      </c>
      <c r="R1274" s="3">
        <v>43787.0</v>
      </c>
      <c r="S1274" s="1"/>
      <c r="T1274" s="1">
        <v>1500602.0</v>
      </c>
      <c r="U1274" s="1" t="s">
        <v>5135</v>
      </c>
      <c r="V1274" s="1" t="s">
        <v>193</v>
      </c>
      <c r="W1274" s="1" t="s">
        <v>177</v>
      </c>
      <c r="X1274" s="1"/>
      <c r="Y1274" s="1"/>
      <c r="Z1274" s="1" t="s">
        <v>147</v>
      </c>
      <c r="AA1274" s="1" t="s">
        <v>5392</v>
      </c>
      <c r="AB1274" s="1" t="str">
        <f>"***703521**"</f>
        <v>***703521**</v>
      </c>
      <c r="AC1274" s="1"/>
      <c r="AD1274" s="1" t="s">
        <v>2103</v>
      </c>
      <c r="AE1274" s="1"/>
      <c r="AF1274" s="1">
        <v>-55.196388</v>
      </c>
      <c r="AG1274" s="1">
        <v>-8.145833</v>
      </c>
      <c r="AH1274" s="1" t="s">
        <v>5393</v>
      </c>
      <c r="AI1274" s="1"/>
      <c r="AJ1274" s="1" t="s">
        <v>172</v>
      </c>
      <c r="AK1274" s="1"/>
      <c r="AL1274" s="1"/>
      <c r="AM1274" s="1" t="s">
        <v>65</v>
      </c>
      <c r="AN1274" s="1" t="s">
        <v>1395</v>
      </c>
      <c r="AO1274" s="1"/>
      <c r="AP1274" s="2">
        <v>43787.5550578704</v>
      </c>
      <c r="AQ1274" s="1"/>
      <c r="AR1274" s="1" t="s">
        <v>644</v>
      </c>
      <c r="AS1274" s="1" t="s">
        <v>5353</v>
      </c>
      <c r="AT1274" s="2">
        <v>44269.931099537</v>
      </c>
    </row>
    <row r="1275" ht="13.5" customHeight="1">
      <c r="A1275" s="1">
        <v>2034684.0</v>
      </c>
      <c r="B1275" s="1" t="s">
        <v>67</v>
      </c>
      <c r="C1275" s="1" t="s">
        <v>89</v>
      </c>
      <c r="D1275" s="1" t="s">
        <v>67</v>
      </c>
      <c r="E1275" s="1" t="s">
        <v>5394</v>
      </c>
      <c r="F1275" s="1"/>
      <c r="G1275" s="1" t="s">
        <v>70</v>
      </c>
      <c r="H1275" s="1" t="s">
        <v>93</v>
      </c>
      <c r="I1275" s="1">
        <v>2893.5</v>
      </c>
      <c r="J1275" s="1"/>
      <c r="K1275" s="1"/>
      <c r="L1275" s="1" t="s">
        <v>264</v>
      </c>
      <c r="M1275" s="1" t="s">
        <v>5395</v>
      </c>
      <c r="N1275" s="1" t="s">
        <v>142</v>
      </c>
      <c r="O1275" s="1" t="s">
        <v>143</v>
      </c>
      <c r="P1275" s="2">
        <v>43787.5416666667</v>
      </c>
      <c r="Q1275" s="1" t="s">
        <v>74</v>
      </c>
      <c r="R1275" s="3">
        <v>43786.0</v>
      </c>
      <c r="S1275" s="1"/>
      <c r="T1275" s="1">
        <v>4215406.0</v>
      </c>
      <c r="U1275" s="1" t="s">
        <v>621</v>
      </c>
      <c r="V1275" s="1" t="s">
        <v>267</v>
      </c>
      <c r="W1275" s="1" t="s">
        <v>59</v>
      </c>
      <c r="X1275" s="1"/>
      <c r="Y1275" s="1" t="str">
        <f>"02026000456202069"</f>
        <v>02026000456202069</v>
      </c>
      <c r="Z1275" s="1" t="s">
        <v>147</v>
      </c>
      <c r="AA1275" s="1" t="s">
        <v>622</v>
      </c>
      <c r="AB1275" s="1" t="str">
        <f>"85101905000100"</f>
        <v>85101905000100</v>
      </c>
      <c r="AC1275" s="1"/>
      <c r="AD1275" s="1"/>
      <c r="AE1275" s="1"/>
      <c r="AF1275" s="1">
        <v>-51.406944</v>
      </c>
      <c r="AG1275" s="1">
        <v>-26.910555</v>
      </c>
      <c r="AH1275" s="1" t="s">
        <v>5396</v>
      </c>
      <c r="AI1275" s="1"/>
      <c r="AJ1275" s="1" t="s">
        <v>264</v>
      </c>
      <c r="AK1275" s="1"/>
      <c r="AL1275" s="1" t="s">
        <v>79</v>
      </c>
      <c r="AM1275" s="1" t="s">
        <v>65</v>
      </c>
      <c r="AN1275" s="1" t="s">
        <v>624</v>
      </c>
      <c r="AO1275" s="2">
        <v>43889.0</v>
      </c>
      <c r="AP1275" s="2">
        <v>44006.8138310185</v>
      </c>
      <c r="AQ1275" s="1" t="s">
        <v>89</v>
      </c>
      <c r="AR1275" s="1" t="s">
        <v>625</v>
      </c>
      <c r="AS1275" s="1"/>
      <c r="AT1275" s="2">
        <v>44269.931099537</v>
      </c>
    </row>
    <row r="1276" ht="13.5" customHeight="1">
      <c r="A1276" s="1">
        <v>2042609.0</v>
      </c>
      <c r="B1276" s="1" t="s">
        <v>67</v>
      </c>
      <c r="C1276" s="1" t="s">
        <v>68</v>
      </c>
      <c r="D1276" s="1" t="s">
        <v>46</v>
      </c>
      <c r="E1276" s="1" t="s">
        <v>5397</v>
      </c>
      <c r="F1276" s="1"/>
      <c r="G1276" s="1" t="s">
        <v>70</v>
      </c>
      <c r="H1276" s="1" t="s">
        <v>93</v>
      </c>
      <c r="I1276" s="1">
        <v>500.0</v>
      </c>
      <c r="J1276" s="1"/>
      <c r="K1276" s="1"/>
      <c r="L1276" s="1" t="s">
        <v>1040</v>
      </c>
      <c r="M1276" s="1" t="s">
        <v>5398</v>
      </c>
      <c r="N1276" s="1" t="s">
        <v>72</v>
      </c>
      <c r="O1276" s="1" t="s">
        <v>213</v>
      </c>
      <c r="P1276" s="2">
        <v>43787.5</v>
      </c>
      <c r="Q1276" s="1" t="s">
        <v>55</v>
      </c>
      <c r="R1276" s="1"/>
      <c r="S1276" s="1"/>
      <c r="T1276" s="1">
        <v>2607307.0</v>
      </c>
      <c r="U1276" s="1" t="s">
        <v>5204</v>
      </c>
      <c r="V1276" s="1" t="s">
        <v>1037</v>
      </c>
      <c r="W1276" s="1" t="s">
        <v>113</v>
      </c>
      <c r="X1276" s="1"/>
      <c r="Y1276" s="1" t="str">
        <f>"02019000682202039"</f>
        <v>02019000682202039</v>
      </c>
      <c r="Z1276" s="1" t="s">
        <v>215</v>
      </c>
      <c r="AA1276" s="1" t="s">
        <v>5399</v>
      </c>
      <c r="AB1276" s="1" t="str">
        <f>"30554426000158"</f>
        <v>30554426000158</v>
      </c>
      <c r="AC1276" s="1"/>
      <c r="AD1276" s="1"/>
      <c r="AE1276" s="1"/>
      <c r="AF1276" s="1">
        <v>-40.185558</v>
      </c>
      <c r="AG1276" s="1">
        <v>-7.698333</v>
      </c>
      <c r="AH1276" s="1" t="s">
        <v>5400</v>
      </c>
      <c r="AI1276" s="1"/>
      <c r="AJ1276" s="1" t="s">
        <v>1040</v>
      </c>
      <c r="AK1276" s="1"/>
      <c r="AL1276" s="1" t="s">
        <v>79</v>
      </c>
      <c r="AM1276" s="1" t="s">
        <v>65</v>
      </c>
      <c r="AN1276" s="1" t="s">
        <v>1279</v>
      </c>
      <c r="AO1276" s="2">
        <v>44210.0</v>
      </c>
      <c r="AP1276" s="2">
        <v>44210.7872800926</v>
      </c>
      <c r="AQ1276" s="1" t="s">
        <v>80</v>
      </c>
      <c r="AR1276" s="1" t="s">
        <v>5401</v>
      </c>
      <c r="AS1276" s="1"/>
      <c r="AT1276" s="2">
        <v>44269.931099537</v>
      </c>
    </row>
    <row r="1277" ht="13.5" customHeight="1">
      <c r="A1277" s="1">
        <v>2038862.0</v>
      </c>
      <c r="B1277" s="1" t="s">
        <v>67</v>
      </c>
      <c r="C1277" s="1" t="s">
        <v>68</v>
      </c>
      <c r="D1277" s="1" t="s">
        <v>46</v>
      </c>
      <c r="E1277" s="1" t="s">
        <v>5402</v>
      </c>
      <c r="F1277" s="1"/>
      <c r="G1277" s="1" t="s">
        <v>70</v>
      </c>
      <c r="H1277" s="1" t="s">
        <v>93</v>
      </c>
      <c r="I1277" s="1">
        <v>211165.0</v>
      </c>
      <c r="J1277" s="1"/>
      <c r="K1277" s="1"/>
      <c r="L1277" s="1" t="s">
        <v>172</v>
      </c>
      <c r="M1277" s="1" t="s">
        <v>5403</v>
      </c>
      <c r="N1277" s="1" t="s">
        <v>142</v>
      </c>
      <c r="O1277" s="1" t="s">
        <v>143</v>
      </c>
      <c r="P1277" s="2">
        <v>43787.4583333333</v>
      </c>
      <c r="Q1277" s="1" t="s">
        <v>373</v>
      </c>
      <c r="R1277" s="3">
        <v>43787.0</v>
      </c>
      <c r="S1277" s="1"/>
      <c r="T1277" s="1">
        <v>1100338.0</v>
      </c>
      <c r="U1277" s="1" t="s">
        <v>5017</v>
      </c>
      <c r="V1277" s="1" t="s">
        <v>448</v>
      </c>
      <c r="W1277" s="1" t="s">
        <v>177</v>
      </c>
      <c r="X1277" s="1"/>
      <c r="Y1277" s="1"/>
      <c r="Z1277" s="1" t="s">
        <v>147</v>
      </c>
      <c r="AA1277" s="1" t="s">
        <v>5404</v>
      </c>
      <c r="AB1277" s="1" t="str">
        <f>"***366612**"</f>
        <v>***366612**</v>
      </c>
      <c r="AC1277" s="1"/>
      <c r="AD1277" s="1"/>
      <c r="AE1277" s="1"/>
      <c r="AF1277" s="1">
        <v>-65.012497</v>
      </c>
      <c r="AG1277" s="1">
        <v>-10.090555</v>
      </c>
      <c r="AH1277" s="1" t="s">
        <v>5405</v>
      </c>
      <c r="AI1277" s="1"/>
      <c r="AJ1277" s="1" t="s">
        <v>172</v>
      </c>
      <c r="AK1277" s="1"/>
      <c r="AL1277" s="1" t="s">
        <v>79</v>
      </c>
      <c r="AM1277" s="1" t="s">
        <v>65</v>
      </c>
      <c r="AN1277" s="1" t="s">
        <v>1395</v>
      </c>
      <c r="AO1277" s="2">
        <v>44047.0</v>
      </c>
      <c r="AP1277" s="2">
        <v>44047.363287037</v>
      </c>
      <c r="AQ1277" s="1" t="s">
        <v>80</v>
      </c>
      <c r="AR1277" s="1" t="s">
        <v>451</v>
      </c>
      <c r="AS1277" s="1"/>
      <c r="AT1277" s="2">
        <v>44269.931099537</v>
      </c>
    </row>
    <row r="1278" ht="13.5" customHeight="1">
      <c r="A1278" s="1">
        <v>2042765.0</v>
      </c>
      <c r="B1278" s="1" t="s">
        <v>67</v>
      </c>
      <c r="C1278" s="1" t="s">
        <v>68</v>
      </c>
      <c r="D1278" s="1" t="s">
        <v>46</v>
      </c>
      <c r="E1278" s="1" t="s">
        <v>5406</v>
      </c>
      <c r="F1278" s="1"/>
      <c r="G1278" s="1" t="s">
        <v>70</v>
      </c>
      <c r="H1278" s="1" t="s">
        <v>93</v>
      </c>
      <c r="I1278" s="1">
        <v>11700.0</v>
      </c>
      <c r="J1278" s="1"/>
      <c r="K1278" s="1"/>
      <c r="L1278" s="1" t="s">
        <v>264</v>
      </c>
      <c r="M1278" s="1" t="s">
        <v>5407</v>
      </c>
      <c r="N1278" s="1" t="s">
        <v>53</v>
      </c>
      <c r="O1278" s="1" t="s">
        <v>54</v>
      </c>
      <c r="P1278" s="2">
        <v>43787.4548611111</v>
      </c>
      <c r="Q1278" s="1" t="s">
        <v>74</v>
      </c>
      <c r="R1278" s="3">
        <v>43794.0</v>
      </c>
      <c r="S1278" s="1"/>
      <c r="T1278" s="1">
        <v>4208203.0</v>
      </c>
      <c r="U1278" s="1" t="s">
        <v>735</v>
      </c>
      <c r="V1278" s="1" t="s">
        <v>267</v>
      </c>
      <c r="W1278" s="1" t="s">
        <v>288</v>
      </c>
      <c r="X1278" s="1"/>
      <c r="Y1278" s="1" t="str">
        <f>"02610001883201931"</f>
        <v>02610001883201931</v>
      </c>
      <c r="Z1278" s="1" t="s">
        <v>60</v>
      </c>
      <c r="AA1278" s="1" t="s">
        <v>5231</v>
      </c>
      <c r="AB1278" s="1" t="str">
        <f>"***378639**"</f>
        <v>***378639**</v>
      </c>
      <c r="AC1278" s="1"/>
      <c r="AD1278" s="1" t="s">
        <v>116</v>
      </c>
      <c r="AE1278" s="1"/>
      <c r="AF1278" s="1">
        <v>-48.671389</v>
      </c>
      <c r="AG1278" s="1">
        <v>-26.919167</v>
      </c>
      <c r="AH1278" s="1" t="s">
        <v>5301</v>
      </c>
      <c r="AI1278" s="1"/>
      <c r="AJ1278" s="1"/>
      <c r="AK1278" s="1"/>
      <c r="AL1278" s="1" t="s">
        <v>118</v>
      </c>
      <c r="AM1278" s="1"/>
      <c r="AN1278" s="1"/>
      <c r="AO1278" s="2">
        <v>44216.7589467593</v>
      </c>
      <c r="AP1278" s="2">
        <v>44216.7589467593</v>
      </c>
      <c r="AQ1278" s="1" t="s">
        <v>80</v>
      </c>
      <c r="AR1278" s="1" t="s">
        <v>5302</v>
      </c>
      <c r="AS1278" s="1"/>
      <c r="AT1278" s="2">
        <v>44269.931099537</v>
      </c>
    </row>
    <row r="1279" ht="13.5" customHeight="1">
      <c r="A1279" s="1"/>
      <c r="B1279" s="1" t="s">
        <v>46</v>
      </c>
      <c r="C1279" s="1" t="s">
        <v>47</v>
      </c>
      <c r="D1279" s="1"/>
      <c r="E1279" s="1" t="s">
        <v>5408</v>
      </c>
      <c r="F1279" s="1"/>
      <c r="G1279" s="1" t="s">
        <v>49</v>
      </c>
      <c r="H1279" s="1" t="s">
        <v>93</v>
      </c>
      <c r="I1279" s="1">
        <v>5000.0</v>
      </c>
      <c r="J1279" s="1"/>
      <c r="K1279" s="1"/>
      <c r="L1279" s="1"/>
      <c r="M1279" s="1" t="s">
        <v>5409</v>
      </c>
      <c r="N1279" s="1" t="s">
        <v>95</v>
      </c>
      <c r="O1279" s="1" t="s">
        <v>96</v>
      </c>
      <c r="P1279" s="2">
        <v>43787.452650463</v>
      </c>
      <c r="Q1279" s="1" t="s">
        <v>74</v>
      </c>
      <c r="R1279" s="1"/>
      <c r="S1279" s="1"/>
      <c r="T1279" s="1">
        <v>1502400.0</v>
      </c>
      <c r="U1279" s="1" t="s">
        <v>5410</v>
      </c>
      <c r="V1279" s="1" t="s">
        <v>193</v>
      </c>
      <c r="W1279" s="1" t="s">
        <v>177</v>
      </c>
      <c r="X1279" s="1"/>
      <c r="Y1279" s="1"/>
      <c r="Z1279" s="1" t="s">
        <v>98</v>
      </c>
      <c r="AA1279" s="1" t="s">
        <v>5411</v>
      </c>
      <c r="AB1279" s="1" t="str">
        <f>"***313932**"</f>
        <v>***313932**</v>
      </c>
      <c r="AC1279" s="1"/>
      <c r="AD1279" s="1" t="s">
        <v>149</v>
      </c>
      <c r="AE1279" s="1"/>
      <c r="AF1279" s="1">
        <v>-47.895557</v>
      </c>
      <c r="AG1279" s="1">
        <v>-1.303056</v>
      </c>
      <c r="AH1279" s="1" t="s">
        <v>5412</v>
      </c>
      <c r="AI1279" s="1"/>
      <c r="AJ1279" s="1" t="s">
        <v>196</v>
      </c>
      <c r="AK1279" s="1"/>
      <c r="AL1279" s="1"/>
      <c r="AM1279" s="1" t="s">
        <v>65</v>
      </c>
      <c r="AN1279" s="1" t="s">
        <v>197</v>
      </c>
      <c r="AO1279" s="1"/>
      <c r="AP1279" s="2">
        <v>43822.7078009259</v>
      </c>
      <c r="AQ1279" s="1"/>
      <c r="AR1279" s="1" t="s">
        <v>5413</v>
      </c>
      <c r="AS1279" s="1" t="s">
        <v>5414</v>
      </c>
      <c r="AT1279" s="2">
        <v>44269.931099537</v>
      </c>
    </row>
    <row r="1280" ht="13.5" customHeight="1">
      <c r="A1280" s="1">
        <v>2035054.0</v>
      </c>
      <c r="B1280" s="1" t="s">
        <v>67</v>
      </c>
      <c r="C1280" s="1" t="s">
        <v>68</v>
      </c>
      <c r="D1280" s="1" t="s">
        <v>46</v>
      </c>
      <c r="E1280" s="1" t="s">
        <v>5415</v>
      </c>
      <c r="F1280" s="1"/>
      <c r="G1280" s="1" t="s">
        <v>70</v>
      </c>
      <c r="H1280" s="1" t="s">
        <v>93</v>
      </c>
      <c r="I1280" s="1">
        <v>945000.0</v>
      </c>
      <c r="J1280" s="1"/>
      <c r="K1280" s="1"/>
      <c r="L1280" s="1" t="s">
        <v>65</v>
      </c>
      <c r="M1280" s="1" t="s">
        <v>5416</v>
      </c>
      <c r="N1280" s="1" t="s">
        <v>142</v>
      </c>
      <c r="O1280" s="1" t="s">
        <v>143</v>
      </c>
      <c r="P1280" s="2">
        <v>43787.375</v>
      </c>
      <c r="Q1280" s="1" t="s">
        <v>74</v>
      </c>
      <c r="R1280" s="3">
        <v>43786.0</v>
      </c>
      <c r="S1280" s="1"/>
      <c r="T1280" s="1">
        <v>1302405.0</v>
      </c>
      <c r="U1280" s="1" t="s">
        <v>2258</v>
      </c>
      <c r="V1280" s="1" t="s">
        <v>486</v>
      </c>
      <c r="W1280" s="1" t="s">
        <v>177</v>
      </c>
      <c r="X1280" s="1"/>
      <c r="Y1280" s="1" t="str">
        <f>"02002002282201911"</f>
        <v>02002002282201911</v>
      </c>
      <c r="Z1280" s="1" t="s">
        <v>147</v>
      </c>
      <c r="AA1280" s="1" t="s">
        <v>5417</v>
      </c>
      <c r="AB1280" s="1" t="str">
        <f>"***569722**"</f>
        <v>***569722**</v>
      </c>
      <c r="AC1280" s="1"/>
      <c r="AD1280" s="1" t="s">
        <v>116</v>
      </c>
      <c r="AE1280" s="1"/>
      <c r="AF1280" s="1">
        <v>-67.115833</v>
      </c>
      <c r="AG1280" s="1">
        <v>-8.761944</v>
      </c>
      <c r="AH1280" s="1" t="s">
        <v>5418</v>
      </c>
      <c r="AI1280" s="1"/>
      <c r="AJ1280" s="1" t="s">
        <v>172</v>
      </c>
      <c r="AK1280" s="1"/>
      <c r="AL1280" s="1" t="s">
        <v>118</v>
      </c>
      <c r="AM1280" s="1" t="s">
        <v>65</v>
      </c>
      <c r="AN1280" s="1" t="s">
        <v>1395</v>
      </c>
      <c r="AO1280" s="2">
        <v>43894.0</v>
      </c>
      <c r="AP1280" s="2">
        <v>44068.4115277778</v>
      </c>
      <c r="AQ1280" s="1" t="s">
        <v>80</v>
      </c>
      <c r="AR1280" s="1" t="s">
        <v>421</v>
      </c>
      <c r="AS1280" s="1" t="s">
        <v>5419</v>
      </c>
      <c r="AT1280" s="2">
        <v>44269.931099537</v>
      </c>
    </row>
    <row r="1281" ht="13.5" customHeight="1">
      <c r="A1281" s="1">
        <v>2042610.0</v>
      </c>
      <c r="B1281" s="1" t="s">
        <v>67</v>
      </c>
      <c r="C1281" s="1" t="s">
        <v>68</v>
      </c>
      <c r="D1281" s="1" t="s">
        <v>46</v>
      </c>
      <c r="E1281" s="1" t="s">
        <v>5420</v>
      </c>
      <c r="F1281" s="1"/>
      <c r="G1281" s="1" t="s">
        <v>70</v>
      </c>
      <c r="H1281" s="1" t="s">
        <v>93</v>
      </c>
      <c r="I1281" s="1">
        <v>500.0</v>
      </c>
      <c r="J1281" s="1"/>
      <c r="K1281" s="1"/>
      <c r="L1281" s="1" t="s">
        <v>1040</v>
      </c>
      <c r="M1281" s="1" t="s">
        <v>5421</v>
      </c>
      <c r="N1281" s="1" t="s">
        <v>72</v>
      </c>
      <c r="O1281" s="1" t="s">
        <v>213</v>
      </c>
      <c r="P1281" s="2">
        <v>43787.25</v>
      </c>
      <c r="Q1281" s="1" t="s">
        <v>55</v>
      </c>
      <c r="R1281" s="1"/>
      <c r="S1281" s="1"/>
      <c r="T1281" s="1">
        <v>2615607.0</v>
      </c>
      <c r="U1281" s="1" t="s">
        <v>5422</v>
      </c>
      <c r="V1281" s="1" t="s">
        <v>1037</v>
      </c>
      <c r="W1281" s="1" t="s">
        <v>113</v>
      </c>
      <c r="X1281" s="1"/>
      <c r="Y1281" s="1" t="str">
        <f>"02019000681202094"</f>
        <v>02019000681202094</v>
      </c>
      <c r="Z1281" s="1" t="s">
        <v>215</v>
      </c>
      <c r="AA1281" s="1" t="s">
        <v>5423</v>
      </c>
      <c r="AB1281" s="1" t="str">
        <f>"03290695000181"</f>
        <v>03290695000181</v>
      </c>
      <c r="AC1281" s="1"/>
      <c r="AD1281" s="1"/>
      <c r="AE1281" s="1"/>
      <c r="AF1281" s="1">
        <v>-40.232777</v>
      </c>
      <c r="AG1281" s="1">
        <v>-7.729445</v>
      </c>
      <c r="AH1281" s="1" t="s">
        <v>5424</v>
      </c>
      <c r="AI1281" s="1"/>
      <c r="AJ1281" s="1" t="s">
        <v>1040</v>
      </c>
      <c r="AK1281" s="1"/>
      <c r="AL1281" s="1" t="s">
        <v>79</v>
      </c>
      <c r="AM1281" s="1" t="s">
        <v>65</v>
      </c>
      <c r="AN1281" s="1" t="s">
        <v>1279</v>
      </c>
      <c r="AO1281" s="2">
        <v>44210.0</v>
      </c>
      <c r="AP1281" s="2">
        <v>44210.7880439815</v>
      </c>
      <c r="AQ1281" s="1" t="s">
        <v>80</v>
      </c>
      <c r="AR1281" s="1" t="s">
        <v>909</v>
      </c>
      <c r="AS1281" s="1"/>
      <c r="AT1281" s="2">
        <v>44269.931099537</v>
      </c>
    </row>
    <row r="1282" ht="13.5" customHeight="1">
      <c r="A1282" s="1"/>
      <c r="B1282" s="1" t="s">
        <v>46</v>
      </c>
      <c r="C1282" s="1" t="s">
        <v>47</v>
      </c>
      <c r="D1282" s="1"/>
      <c r="E1282" s="1" t="s">
        <v>5425</v>
      </c>
      <c r="F1282" s="1"/>
      <c r="G1282" s="1" t="s">
        <v>49</v>
      </c>
      <c r="H1282" s="1" t="s">
        <v>93</v>
      </c>
      <c r="I1282" s="1">
        <v>277500.0</v>
      </c>
      <c r="J1282" s="1"/>
      <c r="K1282" s="1"/>
      <c r="L1282" s="1"/>
      <c r="M1282" s="1" t="s">
        <v>5426</v>
      </c>
      <c r="N1282" s="1" t="s">
        <v>142</v>
      </c>
      <c r="O1282" s="1" t="s">
        <v>143</v>
      </c>
      <c r="P1282" s="2">
        <v>43786.5615625</v>
      </c>
      <c r="Q1282" s="1" t="s">
        <v>373</v>
      </c>
      <c r="R1282" s="1"/>
      <c r="S1282" s="1"/>
      <c r="T1282" s="1">
        <v>1505031.0</v>
      </c>
      <c r="U1282" s="1" t="s">
        <v>5123</v>
      </c>
      <c r="V1282" s="1" t="s">
        <v>193</v>
      </c>
      <c r="W1282" s="1" t="s">
        <v>177</v>
      </c>
      <c r="X1282" s="1"/>
      <c r="Y1282" s="1"/>
      <c r="Z1282" s="1" t="s">
        <v>147</v>
      </c>
      <c r="AA1282" s="1" t="s">
        <v>5427</v>
      </c>
      <c r="AB1282" s="1" t="str">
        <f>"***780579**"</f>
        <v>***780579**</v>
      </c>
      <c r="AC1282" s="1"/>
      <c r="AD1282" s="1" t="s">
        <v>2103</v>
      </c>
      <c r="AE1282" s="1"/>
      <c r="AF1282" s="1">
        <v>-55.464722</v>
      </c>
      <c r="AG1282" s="1">
        <v>-6.483611</v>
      </c>
      <c r="AH1282" s="1" t="s">
        <v>5428</v>
      </c>
      <c r="AI1282" s="1"/>
      <c r="AJ1282" s="1" t="s">
        <v>172</v>
      </c>
      <c r="AK1282" s="1"/>
      <c r="AL1282" s="1"/>
      <c r="AM1282" s="1" t="s">
        <v>65</v>
      </c>
      <c r="AN1282" s="1" t="s">
        <v>1395</v>
      </c>
      <c r="AO1282" s="1"/>
      <c r="AP1282" s="2">
        <v>44077.7565277778</v>
      </c>
      <c r="AQ1282" s="1"/>
      <c r="AR1282" s="1" t="s">
        <v>644</v>
      </c>
      <c r="AS1282" s="1" t="s">
        <v>5429</v>
      </c>
      <c r="AT1282" s="2">
        <v>44269.931099537</v>
      </c>
    </row>
    <row r="1283" ht="13.5" customHeight="1">
      <c r="A1283" s="1"/>
      <c r="B1283" s="1" t="s">
        <v>46</v>
      </c>
      <c r="C1283" s="1" t="s">
        <v>47</v>
      </c>
      <c r="D1283" s="1"/>
      <c r="E1283" s="1" t="s">
        <v>5430</v>
      </c>
      <c r="F1283" s="1"/>
      <c r="G1283" s="1"/>
      <c r="H1283" s="1" t="s">
        <v>93</v>
      </c>
      <c r="I1283" s="1">
        <v>5000.0</v>
      </c>
      <c r="J1283" s="1"/>
      <c r="K1283" s="1"/>
      <c r="L1283" s="1"/>
      <c r="M1283" s="1" t="s">
        <v>5431</v>
      </c>
      <c r="N1283" s="1" t="s">
        <v>95</v>
      </c>
      <c r="O1283" s="1" t="s">
        <v>96</v>
      </c>
      <c r="P1283" s="2">
        <v>43786.5427314815</v>
      </c>
      <c r="Q1283" s="1" t="s">
        <v>373</v>
      </c>
      <c r="R1283" s="1"/>
      <c r="S1283" s="1"/>
      <c r="T1283" s="1">
        <v>2915353.0</v>
      </c>
      <c r="U1283" s="1" t="s">
        <v>5432</v>
      </c>
      <c r="V1283" s="1" t="s">
        <v>632</v>
      </c>
      <c r="W1283" s="1" t="s">
        <v>113</v>
      </c>
      <c r="X1283" s="1"/>
      <c r="Y1283" s="1"/>
      <c r="Z1283" s="1" t="s">
        <v>98</v>
      </c>
      <c r="AA1283" s="1" t="s">
        <v>5433</v>
      </c>
      <c r="AB1283" s="1" t="str">
        <f>"***552925**"</f>
        <v>***552925**</v>
      </c>
      <c r="AC1283" s="1"/>
      <c r="AD1283" s="1" t="s">
        <v>62</v>
      </c>
      <c r="AE1283" s="1"/>
      <c r="AF1283" s="1">
        <v>-42.511944</v>
      </c>
      <c r="AG1283" s="1">
        <v>-10.908889</v>
      </c>
      <c r="AH1283" s="1" t="s">
        <v>5434</v>
      </c>
      <c r="AI1283" s="1"/>
      <c r="AJ1283" s="1" t="s">
        <v>628</v>
      </c>
      <c r="AK1283" s="1"/>
      <c r="AL1283" s="1"/>
      <c r="AM1283" s="1"/>
      <c r="AN1283" s="1" t="s">
        <v>5435</v>
      </c>
      <c r="AO1283" s="1"/>
      <c r="AP1283" s="2">
        <v>43786.5676967593</v>
      </c>
      <c r="AQ1283" s="1"/>
      <c r="AR1283" s="1" t="s">
        <v>2590</v>
      </c>
      <c r="AS1283" s="1"/>
      <c r="AT1283" s="2">
        <v>44269.931099537</v>
      </c>
    </row>
    <row r="1284" ht="13.5" customHeight="1">
      <c r="A1284" s="1"/>
      <c r="B1284" s="1" t="s">
        <v>46</v>
      </c>
      <c r="C1284" s="1" t="s">
        <v>47</v>
      </c>
      <c r="D1284" s="1"/>
      <c r="E1284" s="1" t="s">
        <v>5436</v>
      </c>
      <c r="F1284" s="1"/>
      <c r="G1284" s="1"/>
      <c r="H1284" s="1" t="s">
        <v>93</v>
      </c>
      <c r="I1284" s="1">
        <v>22500.0</v>
      </c>
      <c r="J1284" s="1"/>
      <c r="K1284" s="1"/>
      <c r="L1284" s="1"/>
      <c r="M1284" s="1" t="s">
        <v>5437</v>
      </c>
      <c r="N1284" s="1" t="s">
        <v>142</v>
      </c>
      <c r="O1284" s="1" t="s">
        <v>143</v>
      </c>
      <c r="P1284" s="2">
        <v>43786.0726041667</v>
      </c>
      <c r="Q1284" s="1" t="s">
        <v>373</v>
      </c>
      <c r="R1284" s="1"/>
      <c r="S1284" s="1"/>
      <c r="T1284" s="1">
        <v>1500602.0</v>
      </c>
      <c r="U1284" s="1" t="s">
        <v>5135</v>
      </c>
      <c r="V1284" s="1" t="s">
        <v>193</v>
      </c>
      <c r="W1284" s="1" t="s">
        <v>177</v>
      </c>
      <c r="X1284" s="1"/>
      <c r="Y1284" s="1"/>
      <c r="Z1284" s="1" t="s">
        <v>147</v>
      </c>
      <c r="AA1284" s="1" t="s">
        <v>5149</v>
      </c>
      <c r="AB1284" s="1" t="str">
        <f>"***841291**"</f>
        <v>***841291**</v>
      </c>
      <c r="AC1284" s="1"/>
      <c r="AD1284" s="1" t="s">
        <v>2103</v>
      </c>
      <c r="AE1284" s="1"/>
      <c r="AF1284" s="1">
        <v>-54.910557</v>
      </c>
      <c r="AG1284" s="1">
        <v>-7.759444</v>
      </c>
      <c r="AH1284" s="1" t="s">
        <v>5150</v>
      </c>
      <c r="AI1284" s="1"/>
      <c r="AJ1284" s="1" t="s">
        <v>172</v>
      </c>
      <c r="AK1284" s="1"/>
      <c r="AL1284" s="1"/>
      <c r="AM1284" s="1" t="s">
        <v>65</v>
      </c>
      <c r="AN1284" s="1" t="s">
        <v>1395</v>
      </c>
      <c r="AO1284" s="1"/>
      <c r="AP1284" s="2">
        <v>43786.0942592593</v>
      </c>
      <c r="AQ1284" s="1"/>
      <c r="AR1284" s="1" t="s">
        <v>5438</v>
      </c>
      <c r="AS1284" s="1" t="s">
        <v>1944</v>
      </c>
      <c r="AT1284" s="2">
        <v>44269.931099537</v>
      </c>
    </row>
    <row r="1285" ht="13.5" customHeight="1">
      <c r="A1285" s="1"/>
      <c r="B1285" s="1" t="s">
        <v>46</v>
      </c>
      <c r="C1285" s="1" t="s">
        <v>47</v>
      </c>
      <c r="D1285" s="1"/>
      <c r="E1285" s="1" t="s">
        <v>5439</v>
      </c>
      <c r="F1285" s="1"/>
      <c r="G1285" s="1" t="s">
        <v>49</v>
      </c>
      <c r="H1285" s="1" t="s">
        <v>93</v>
      </c>
      <c r="I1285" s="1">
        <v>4587.43</v>
      </c>
      <c r="J1285" s="1"/>
      <c r="K1285" s="1"/>
      <c r="L1285" s="1"/>
      <c r="M1285" s="1" t="s">
        <v>5440</v>
      </c>
      <c r="N1285" s="1" t="s">
        <v>142</v>
      </c>
      <c r="O1285" s="1" t="s">
        <v>143</v>
      </c>
      <c r="P1285" s="2">
        <v>43785.910775463</v>
      </c>
      <c r="Q1285" s="1" t="s">
        <v>373</v>
      </c>
      <c r="R1285" s="1"/>
      <c r="S1285" s="1"/>
      <c r="T1285" s="1">
        <v>1505064.0</v>
      </c>
      <c r="U1285" s="1" t="s">
        <v>2897</v>
      </c>
      <c r="V1285" s="1" t="s">
        <v>193</v>
      </c>
      <c r="W1285" s="1" t="s">
        <v>177</v>
      </c>
      <c r="X1285" s="1"/>
      <c r="Y1285" s="1"/>
      <c r="Z1285" s="1" t="s">
        <v>147</v>
      </c>
      <c r="AA1285" s="1" t="s">
        <v>5441</v>
      </c>
      <c r="AB1285" s="1" t="str">
        <f>"***137313**"</f>
        <v>***137313**</v>
      </c>
      <c r="AC1285" s="1"/>
      <c r="AD1285" s="1" t="s">
        <v>149</v>
      </c>
      <c r="AE1285" s="1"/>
      <c r="AF1285" s="1">
        <v>-50.484444</v>
      </c>
      <c r="AG1285" s="1">
        <v>-4.757778</v>
      </c>
      <c r="AH1285" s="1" t="s">
        <v>5442</v>
      </c>
      <c r="AI1285" s="1"/>
      <c r="AJ1285" s="1" t="s">
        <v>1172</v>
      </c>
      <c r="AK1285" s="1"/>
      <c r="AL1285" s="1"/>
      <c r="AM1285" s="1" t="s">
        <v>65</v>
      </c>
      <c r="AN1285" s="1" t="s">
        <v>3087</v>
      </c>
      <c r="AO1285" s="1"/>
      <c r="AP1285" s="2">
        <v>43785.9326736111</v>
      </c>
      <c r="AQ1285" s="1"/>
      <c r="AR1285" s="1" t="s">
        <v>280</v>
      </c>
      <c r="AS1285" s="1"/>
      <c r="AT1285" s="2">
        <v>44269.931099537</v>
      </c>
    </row>
    <row r="1286" ht="13.5" customHeight="1">
      <c r="A1286" s="1"/>
      <c r="B1286" s="1" t="s">
        <v>46</v>
      </c>
      <c r="C1286" s="1" t="s">
        <v>47</v>
      </c>
      <c r="D1286" s="1"/>
      <c r="E1286" s="1" t="s">
        <v>5443</v>
      </c>
      <c r="F1286" s="1"/>
      <c r="G1286" s="1"/>
      <c r="H1286" s="1" t="s">
        <v>93</v>
      </c>
      <c r="I1286" s="1">
        <v>10000.0</v>
      </c>
      <c r="J1286" s="1"/>
      <c r="K1286" s="1"/>
      <c r="L1286" s="1"/>
      <c r="M1286" s="1" t="s">
        <v>5444</v>
      </c>
      <c r="N1286" s="1" t="s">
        <v>142</v>
      </c>
      <c r="O1286" s="1" t="s">
        <v>143</v>
      </c>
      <c r="P1286" s="2">
        <v>43785.7122916667</v>
      </c>
      <c r="Q1286" s="1" t="s">
        <v>373</v>
      </c>
      <c r="R1286" s="1"/>
      <c r="S1286" s="1"/>
      <c r="T1286" s="1">
        <v>1500602.0</v>
      </c>
      <c r="U1286" s="1" t="s">
        <v>5135</v>
      </c>
      <c r="V1286" s="1" t="s">
        <v>193</v>
      </c>
      <c r="W1286" s="1" t="s">
        <v>177</v>
      </c>
      <c r="X1286" s="1"/>
      <c r="Y1286" s="1"/>
      <c r="Z1286" s="1" t="s">
        <v>147</v>
      </c>
      <c r="AA1286" s="1" t="s">
        <v>5445</v>
      </c>
      <c r="AB1286" s="1" t="str">
        <f>"***497099**"</f>
        <v>***497099**</v>
      </c>
      <c r="AC1286" s="1"/>
      <c r="AD1286" s="1" t="s">
        <v>116</v>
      </c>
      <c r="AE1286" s="1"/>
      <c r="AF1286" s="1">
        <v>-55.231388</v>
      </c>
      <c r="AG1286" s="1">
        <v>-8.07</v>
      </c>
      <c r="AH1286" s="1" t="s">
        <v>5446</v>
      </c>
      <c r="AI1286" s="1"/>
      <c r="AJ1286" s="1" t="s">
        <v>172</v>
      </c>
      <c r="AK1286" s="1"/>
      <c r="AL1286" s="1"/>
      <c r="AM1286" s="1" t="s">
        <v>65</v>
      </c>
      <c r="AN1286" s="1" t="s">
        <v>1395</v>
      </c>
      <c r="AO1286" s="1"/>
      <c r="AP1286" s="2">
        <v>43785.7280555556</v>
      </c>
      <c r="AQ1286" s="1"/>
      <c r="AR1286" s="1" t="s">
        <v>4164</v>
      </c>
      <c r="AS1286" s="1" t="s">
        <v>5447</v>
      </c>
      <c r="AT1286" s="2">
        <v>44269.931099537</v>
      </c>
    </row>
    <row r="1287" ht="13.5" customHeight="1">
      <c r="A1287" s="1"/>
      <c r="B1287" s="1" t="s">
        <v>46</v>
      </c>
      <c r="C1287" s="1" t="s">
        <v>47</v>
      </c>
      <c r="D1287" s="1"/>
      <c r="E1287" s="1" t="s">
        <v>5448</v>
      </c>
      <c r="F1287" s="1"/>
      <c r="G1287" s="1" t="s">
        <v>49</v>
      </c>
      <c r="H1287" s="1" t="s">
        <v>93</v>
      </c>
      <c r="I1287" s="1">
        <v>2465000.0</v>
      </c>
      <c r="J1287" s="1"/>
      <c r="K1287" s="1"/>
      <c r="L1287" s="1"/>
      <c r="M1287" s="1" t="s">
        <v>5449</v>
      </c>
      <c r="N1287" s="1" t="s">
        <v>142</v>
      </c>
      <c r="O1287" s="1" t="s">
        <v>143</v>
      </c>
      <c r="P1287" s="2">
        <v>43785.6700462963</v>
      </c>
      <c r="Q1287" s="1" t="s">
        <v>373</v>
      </c>
      <c r="R1287" s="1"/>
      <c r="S1287" s="1"/>
      <c r="T1287" s="1">
        <v>1500602.0</v>
      </c>
      <c r="U1287" s="1" t="s">
        <v>5135</v>
      </c>
      <c r="V1287" s="1" t="s">
        <v>193</v>
      </c>
      <c r="W1287" s="1" t="s">
        <v>177</v>
      </c>
      <c r="X1287" s="1"/>
      <c r="Y1287" s="1"/>
      <c r="Z1287" s="1" t="s">
        <v>147</v>
      </c>
      <c r="AA1287" s="1" t="s">
        <v>5450</v>
      </c>
      <c r="AB1287" s="1" t="str">
        <f>"***475962**"</f>
        <v>***475962**</v>
      </c>
      <c r="AC1287" s="1"/>
      <c r="AD1287" s="1" t="s">
        <v>116</v>
      </c>
      <c r="AE1287" s="1"/>
      <c r="AF1287" s="1">
        <v>-54.986111</v>
      </c>
      <c r="AG1287" s="1">
        <v>-8.554167</v>
      </c>
      <c r="AH1287" s="1" t="s">
        <v>5451</v>
      </c>
      <c r="AI1287" s="1"/>
      <c r="AJ1287" s="1" t="s">
        <v>172</v>
      </c>
      <c r="AK1287" s="1"/>
      <c r="AL1287" s="1"/>
      <c r="AM1287" s="1" t="s">
        <v>65</v>
      </c>
      <c r="AN1287" s="1" t="s">
        <v>1395</v>
      </c>
      <c r="AO1287" s="1"/>
      <c r="AP1287" s="2">
        <v>44077.7566319444</v>
      </c>
      <c r="AQ1287" s="1"/>
      <c r="AR1287" s="1" t="s">
        <v>644</v>
      </c>
      <c r="AS1287" s="1" t="s">
        <v>5452</v>
      </c>
      <c r="AT1287" s="2">
        <v>44269.931099537</v>
      </c>
    </row>
    <row r="1288" ht="13.5" customHeight="1">
      <c r="A1288" s="1"/>
      <c r="B1288" s="1" t="s">
        <v>46</v>
      </c>
      <c r="C1288" s="1" t="s">
        <v>47</v>
      </c>
      <c r="D1288" s="1"/>
      <c r="E1288" s="1" t="s">
        <v>5453</v>
      </c>
      <c r="F1288" s="1"/>
      <c r="G1288" s="1"/>
      <c r="H1288" s="1" t="s">
        <v>93</v>
      </c>
      <c r="I1288" s="1">
        <v>1917500.0</v>
      </c>
      <c r="J1288" s="1"/>
      <c r="K1288" s="1"/>
      <c r="L1288" s="1"/>
      <c r="M1288" s="1" t="s">
        <v>5454</v>
      </c>
      <c r="N1288" s="1" t="s">
        <v>142</v>
      </c>
      <c r="O1288" s="1" t="s">
        <v>143</v>
      </c>
      <c r="P1288" s="2">
        <v>43785.6067824074</v>
      </c>
      <c r="Q1288" s="1" t="s">
        <v>373</v>
      </c>
      <c r="R1288" s="1"/>
      <c r="S1288" s="1"/>
      <c r="T1288" s="1">
        <v>5103254.0</v>
      </c>
      <c r="U1288" s="1" t="s">
        <v>5275</v>
      </c>
      <c r="V1288" s="1" t="s">
        <v>164</v>
      </c>
      <c r="W1288" s="1" t="s">
        <v>177</v>
      </c>
      <c r="X1288" s="1"/>
      <c r="Y1288" s="1"/>
      <c r="Z1288" s="1" t="s">
        <v>147</v>
      </c>
      <c r="AA1288" s="1" t="s">
        <v>5455</v>
      </c>
      <c r="AB1288" s="1" t="str">
        <f>"***503512**"</f>
        <v>***503512**</v>
      </c>
      <c r="AC1288" s="1"/>
      <c r="AD1288" s="1" t="s">
        <v>2103</v>
      </c>
      <c r="AE1288" s="1"/>
      <c r="AF1288" s="1">
        <v>-60.796669</v>
      </c>
      <c r="AG1288" s="1">
        <v>-9.190833</v>
      </c>
      <c r="AH1288" s="1" t="s">
        <v>5456</v>
      </c>
      <c r="AI1288" s="1"/>
      <c r="AJ1288" s="1" t="s">
        <v>172</v>
      </c>
      <c r="AK1288" s="1"/>
      <c r="AL1288" s="1"/>
      <c r="AM1288" s="1" t="s">
        <v>65</v>
      </c>
      <c r="AN1288" s="1" t="s">
        <v>1395</v>
      </c>
      <c r="AO1288" s="1"/>
      <c r="AP1288" s="2">
        <v>43786.4054513889</v>
      </c>
      <c r="AQ1288" s="1"/>
      <c r="AR1288" s="1" t="s">
        <v>871</v>
      </c>
      <c r="AS1288" s="1" t="s">
        <v>5457</v>
      </c>
      <c r="AT1288" s="2">
        <v>44269.931099537</v>
      </c>
    </row>
    <row r="1289" ht="13.5" customHeight="1">
      <c r="A1289" s="1"/>
      <c r="B1289" s="1" t="s">
        <v>46</v>
      </c>
      <c r="C1289" s="1" t="s">
        <v>47</v>
      </c>
      <c r="D1289" s="1"/>
      <c r="E1289" s="1" t="s">
        <v>5458</v>
      </c>
      <c r="F1289" s="1"/>
      <c r="G1289" s="1"/>
      <c r="H1289" s="1" t="s">
        <v>93</v>
      </c>
      <c r="I1289" s="1">
        <v>54243.0</v>
      </c>
      <c r="J1289" s="1"/>
      <c r="K1289" s="1"/>
      <c r="L1289" s="1"/>
      <c r="M1289" s="1" t="s">
        <v>5459</v>
      </c>
      <c r="N1289" s="1" t="s">
        <v>142</v>
      </c>
      <c r="O1289" s="1" t="s">
        <v>143</v>
      </c>
      <c r="P1289" s="2">
        <v>43785.5872916667</v>
      </c>
      <c r="Q1289" s="1" t="s">
        <v>373</v>
      </c>
      <c r="R1289" s="1"/>
      <c r="S1289" s="1"/>
      <c r="T1289" s="1">
        <v>1100338.0</v>
      </c>
      <c r="U1289" s="1" t="s">
        <v>5017</v>
      </c>
      <c r="V1289" s="1" t="s">
        <v>448</v>
      </c>
      <c r="W1289" s="1" t="s">
        <v>177</v>
      </c>
      <c r="X1289" s="1"/>
      <c r="Y1289" s="1"/>
      <c r="Z1289" s="1" t="s">
        <v>147</v>
      </c>
      <c r="AA1289" s="1" t="s">
        <v>5460</v>
      </c>
      <c r="AB1289" s="1" t="str">
        <f>"***875952**"</f>
        <v>***875952**</v>
      </c>
      <c r="AC1289" s="1"/>
      <c r="AD1289" s="1" t="s">
        <v>116</v>
      </c>
      <c r="AE1289" s="1"/>
      <c r="AF1289" s="1">
        <v>-65.077774</v>
      </c>
      <c r="AG1289" s="1">
        <v>-10.073611</v>
      </c>
      <c r="AH1289" s="1" t="s">
        <v>5461</v>
      </c>
      <c r="AI1289" s="1"/>
      <c r="AJ1289" s="1" t="s">
        <v>172</v>
      </c>
      <c r="AK1289" s="1"/>
      <c r="AL1289" s="1"/>
      <c r="AM1289" s="1" t="s">
        <v>65</v>
      </c>
      <c r="AN1289" s="1" t="s">
        <v>1395</v>
      </c>
      <c r="AO1289" s="1"/>
      <c r="AP1289" s="2">
        <v>43785.597037037</v>
      </c>
      <c r="AQ1289" s="1"/>
      <c r="AR1289" s="1" t="s">
        <v>871</v>
      </c>
      <c r="AS1289" s="1" t="s">
        <v>5462</v>
      </c>
      <c r="AT1289" s="2">
        <v>44269.931099537</v>
      </c>
    </row>
    <row r="1290" ht="13.5" customHeight="1">
      <c r="A1290" s="1"/>
      <c r="B1290" s="1" t="s">
        <v>46</v>
      </c>
      <c r="C1290" s="1" t="s">
        <v>47</v>
      </c>
      <c r="D1290" s="1"/>
      <c r="E1290" s="1" t="s">
        <v>5463</v>
      </c>
      <c r="F1290" s="1"/>
      <c r="G1290" s="1"/>
      <c r="H1290" s="1" t="s">
        <v>93</v>
      </c>
      <c r="I1290" s="1">
        <v>5000.0</v>
      </c>
      <c r="J1290" s="1"/>
      <c r="K1290" s="1"/>
      <c r="L1290" s="1"/>
      <c r="M1290" s="1" t="s">
        <v>5464</v>
      </c>
      <c r="N1290" s="1" t="s">
        <v>95</v>
      </c>
      <c r="O1290" s="1" t="s">
        <v>96</v>
      </c>
      <c r="P1290" s="2">
        <v>43785.5143981482</v>
      </c>
      <c r="Q1290" s="1" t="s">
        <v>373</v>
      </c>
      <c r="R1290" s="1"/>
      <c r="S1290" s="1"/>
      <c r="T1290" s="1">
        <v>2915353.0</v>
      </c>
      <c r="U1290" s="1" t="s">
        <v>5432</v>
      </c>
      <c r="V1290" s="1" t="s">
        <v>632</v>
      </c>
      <c r="W1290" s="1" t="s">
        <v>113</v>
      </c>
      <c r="X1290" s="1"/>
      <c r="Y1290" s="1"/>
      <c r="Z1290" s="1" t="s">
        <v>98</v>
      </c>
      <c r="AA1290" s="1" t="s">
        <v>5465</v>
      </c>
      <c r="AB1290" s="1" t="str">
        <f>"***552925**"</f>
        <v>***552925**</v>
      </c>
      <c r="AC1290" s="1"/>
      <c r="AD1290" s="1" t="s">
        <v>149</v>
      </c>
      <c r="AE1290" s="1"/>
      <c r="AF1290" s="1">
        <v>-42.511944</v>
      </c>
      <c r="AG1290" s="1">
        <v>-10.908889</v>
      </c>
      <c r="AH1290" s="1" t="s">
        <v>5466</v>
      </c>
      <c r="AI1290" s="1"/>
      <c r="AJ1290" s="1" t="s">
        <v>628</v>
      </c>
      <c r="AK1290" s="1"/>
      <c r="AL1290" s="1"/>
      <c r="AM1290" s="1"/>
      <c r="AN1290" s="1" t="s">
        <v>5435</v>
      </c>
      <c r="AO1290" s="1"/>
      <c r="AP1290" s="2">
        <v>43785.531400463</v>
      </c>
      <c r="AQ1290" s="1"/>
      <c r="AR1290" s="1" t="s">
        <v>360</v>
      </c>
      <c r="AS1290" s="1" t="s">
        <v>5467</v>
      </c>
      <c r="AT1290" s="2">
        <v>44269.931099537</v>
      </c>
    </row>
    <row r="1291" ht="13.5" customHeight="1">
      <c r="A1291" s="1">
        <v>2038831.0</v>
      </c>
      <c r="B1291" s="1" t="s">
        <v>67</v>
      </c>
      <c r="C1291" s="1" t="s">
        <v>68</v>
      </c>
      <c r="D1291" s="1" t="s">
        <v>46</v>
      </c>
      <c r="E1291" s="1" t="s">
        <v>5468</v>
      </c>
      <c r="F1291" s="1"/>
      <c r="G1291" s="1" t="s">
        <v>70</v>
      </c>
      <c r="H1291" s="1" t="s">
        <v>50</v>
      </c>
      <c r="I1291" s="1">
        <v>5000.0</v>
      </c>
      <c r="J1291" s="1"/>
      <c r="K1291" s="1"/>
      <c r="L1291" s="1" t="s">
        <v>5469</v>
      </c>
      <c r="M1291" s="1" t="s">
        <v>5470</v>
      </c>
      <c r="N1291" s="1" t="s">
        <v>53</v>
      </c>
      <c r="O1291" s="1" t="s">
        <v>54</v>
      </c>
      <c r="P1291" s="2">
        <v>43785.4166666667</v>
      </c>
      <c r="Q1291" s="1" t="s">
        <v>373</v>
      </c>
      <c r="R1291" s="3">
        <v>43785.0</v>
      </c>
      <c r="S1291" s="1"/>
      <c r="T1291" s="1">
        <v>5103106.0</v>
      </c>
      <c r="U1291" s="1" t="s">
        <v>5471</v>
      </c>
      <c r="V1291" s="1" t="s">
        <v>164</v>
      </c>
      <c r="W1291" s="1" t="s">
        <v>177</v>
      </c>
      <c r="X1291" s="1"/>
      <c r="Y1291" s="1" t="str">
        <f>"02567000151202030"</f>
        <v>02567000151202030</v>
      </c>
      <c r="Z1291" s="1" t="s">
        <v>60</v>
      </c>
      <c r="AA1291" s="1" t="s">
        <v>5472</v>
      </c>
      <c r="AB1291" s="1" t="str">
        <f>"***074351**"</f>
        <v>***074351**</v>
      </c>
      <c r="AC1291" s="1"/>
      <c r="AD1291" s="1"/>
      <c r="AE1291" s="1"/>
      <c r="AF1291" s="1">
        <v>-51.412781</v>
      </c>
      <c r="AG1291" s="1">
        <v>-13.546111</v>
      </c>
      <c r="AH1291" s="1" t="s">
        <v>5473</v>
      </c>
      <c r="AI1291" s="1"/>
      <c r="AJ1291" s="1" t="s">
        <v>5469</v>
      </c>
      <c r="AK1291" s="1"/>
      <c r="AL1291" s="1" t="s">
        <v>79</v>
      </c>
      <c r="AM1291" s="1" t="s">
        <v>65</v>
      </c>
      <c r="AN1291" s="1" t="s">
        <v>5474</v>
      </c>
      <c r="AO1291" s="2">
        <v>44047.0</v>
      </c>
      <c r="AP1291" s="2">
        <v>44047.3461458333</v>
      </c>
      <c r="AQ1291" s="1" t="s">
        <v>80</v>
      </c>
      <c r="AR1291" s="1" t="s">
        <v>5475</v>
      </c>
      <c r="AS1291" s="1"/>
      <c r="AT1291" s="2">
        <v>44269.931099537</v>
      </c>
    </row>
    <row r="1292" ht="13.5" customHeight="1">
      <c r="A1292" s="1">
        <v>2037506.0</v>
      </c>
      <c r="B1292" s="1" t="s">
        <v>67</v>
      </c>
      <c r="C1292" s="1" t="s">
        <v>68</v>
      </c>
      <c r="D1292" s="1" t="s">
        <v>46</v>
      </c>
      <c r="E1292" s="1" t="s">
        <v>5476</v>
      </c>
      <c r="F1292" s="1"/>
      <c r="G1292" s="1" t="s">
        <v>70</v>
      </c>
      <c r="H1292" s="1" t="s">
        <v>93</v>
      </c>
      <c r="I1292" s="1">
        <v>15300.0</v>
      </c>
      <c r="J1292" s="1"/>
      <c r="K1292" s="1"/>
      <c r="L1292" s="1" t="s">
        <v>537</v>
      </c>
      <c r="M1292" s="1" t="s">
        <v>5477</v>
      </c>
      <c r="N1292" s="1" t="s">
        <v>142</v>
      </c>
      <c r="O1292" s="1" t="s">
        <v>143</v>
      </c>
      <c r="P1292" s="2">
        <v>43785.2083333333</v>
      </c>
      <c r="Q1292" s="1" t="s">
        <v>373</v>
      </c>
      <c r="R1292" s="3">
        <v>43785.0</v>
      </c>
      <c r="S1292" s="1"/>
      <c r="T1292" s="1">
        <v>2102804.0</v>
      </c>
      <c r="U1292" s="1" t="s">
        <v>4959</v>
      </c>
      <c r="V1292" s="1" t="s">
        <v>540</v>
      </c>
      <c r="W1292" s="1" t="s">
        <v>127</v>
      </c>
      <c r="X1292" s="1"/>
      <c r="Y1292" s="1" t="str">
        <f>"02012001698202029"</f>
        <v>02012001698202029</v>
      </c>
      <c r="Z1292" s="1" t="s">
        <v>147</v>
      </c>
      <c r="AA1292" s="1" t="s">
        <v>5478</v>
      </c>
      <c r="AB1292" s="1" t="str">
        <f>"***046371**"</f>
        <v>***046371**</v>
      </c>
      <c r="AC1292" s="1"/>
      <c r="AD1292" s="1"/>
      <c r="AE1292" s="1"/>
      <c r="AF1292" s="1">
        <v>-47.631943</v>
      </c>
      <c r="AG1292" s="1">
        <v>-7.153611</v>
      </c>
      <c r="AH1292" s="1" t="s">
        <v>5479</v>
      </c>
      <c r="AI1292" s="1"/>
      <c r="AJ1292" s="1" t="s">
        <v>537</v>
      </c>
      <c r="AK1292" s="1"/>
      <c r="AL1292" s="1" t="s">
        <v>79</v>
      </c>
      <c r="AM1292" s="1" t="s">
        <v>65</v>
      </c>
      <c r="AN1292" s="1" t="s">
        <v>4203</v>
      </c>
      <c r="AO1292" s="2">
        <v>43999.0</v>
      </c>
      <c r="AP1292" s="2">
        <v>43999.4787615741</v>
      </c>
      <c r="AQ1292" s="1" t="s">
        <v>80</v>
      </c>
      <c r="AR1292" s="1" t="s">
        <v>3298</v>
      </c>
      <c r="AS1292" s="1"/>
      <c r="AT1292" s="2">
        <v>44269.931099537</v>
      </c>
    </row>
    <row r="1293" ht="13.5" customHeight="1">
      <c r="A1293" s="1"/>
      <c r="B1293" s="1" t="s">
        <v>46</v>
      </c>
      <c r="C1293" s="1" t="s">
        <v>47</v>
      </c>
      <c r="D1293" s="1"/>
      <c r="E1293" s="1" t="s">
        <v>5480</v>
      </c>
      <c r="F1293" s="1"/>
      <c r="G1293" s="1" t="s">
        <v>49</v>
      </c>
      <c r="H1293" s="1" t="s">
        <v>93</v>
      </c>
      <c r="I1293" s="1">
        <v>65000.0</v>
      </c>
      <c r="J1293" s="1"/>
      <c r="K1293" s="1"/>
      <c r="L1293" s="1"/>
      <c r="M1293" s="1" t="s">
        <v>5481</v>
      </c>
      <c r="N1293" s="1" t="s">
        <v>142</v>
      </c>
      <c r="O1293" s="1" t="s">
        <v>143</v>
      </c>
      <c r="P1293" s="2">
        <v>43784.8105555556</v>
      </c>
      <c r="Q1293" s="1" t="s">
        <v>373</v>
      </c>
      <c r="R1293" s="1"/>
      <c r="S1293" s="1"/>
      <c r="T1293" s="1">
        <v>1100338.0</v>
      </c>
      <c r="U1293" s="1" t="s">
        <v>5017</v>
      </c>
      <c r="V1293" s="1" t="s">
        <v>448</v>
      </c>
      <c r="W1293" s="1" t="s">
        <v>177</v>
      </c>
      <c r="X1293" s="1"/>
      <c r="Y1293" s="1"/>
      <c r="Z1293" s="1" t="s">
        <v>147</v>
      </c>
      <c r="AA1293" s="1" t="s">
        <v>5482</v>
      </c>
      <c r="AB1293" s="1" t="str">
        <f>"***790142**"</f>
        <v>***790142**</v>
      </c>
      <c r="AC1293" s="1"/>
      <c r="AD1293" s="1" t="s">
        <v>116</v>
      </c>
      <c r="AE1293" s="1"/>
      <c r="AF1293" s="1">
        <v>-64.972778</v>
      </c>
      <c r="AG1293" s="1">
        <v>-10.061111</v>
      </c>
      <c r="AH1293" s="1" t="s">
        <v>5483</v>
      </c>
      <c r="AI1293" s="1"/>
      <c r="AJ1293" s="1" t="s">
        <v>172</v>
      </c>
      <c r="AK1293" s="1"/>
      <c r="AL1293" s="1"/>
      <c r="AM1293" s="1" t="s">
        <v>65</v>
      </c>
      <c r="AN1293" s="1" t="s">
        <v>1395</v>
      </c>
      <c r="AO1293" s="1"/>
      <c r="AP1293" s="2">
        <v>44015.8655092593</v>
      </c>
      <c r="AQ1293" s="1"/>
      <c r="AR1293" s="1" t="s">
        <v>3478</v>
      </c>
      <c r="AS1293" s="1"/>
      <c r="AT1293" s="2">
        <v>44269.931099537</v>
      </c>
    </row>
    <row r="1294" ht="13.5" customHeight="1">
      <c r="A1294" s="1">
        <v>2042701.0</v>
      </c>
      <c r="B1294" s="1" t="s">
        <v>67</v>
      </c>
      <c r="C1294" s="1" t="s">
        <v>68</v>
      </c>
      <c r="D1294" s="1" t="s">
        <v>46</v>
      </c>
      <c r="E1294" s="1" t="s">
        <v>5484</v>
      </c>
      <c r="F1294" s="1"/>
      <c r="G1294" s="1" t="s">
        <v>70</v>
      </c>
      <c r="H1294" s="1" t="s">
        <v>93</v>
      </c>
      <c r="I1294" s="1">
        <v>500.0</v>
      </c>
      <c r="J1294" s="1"/>
      <c r="K1294" s="1"/>
      <c r="L1294" s="1" t="s">
        <v>1040</v>
      </c>
      <c r="M1294" s="1" t="s">
        <v>5485</v>
      </c>
      <c r="N1294" s="1" t="s">
        <v>72</v>
      </c>
      <c r="O1294" s="1" t="s">
        <v>213</v>
      </c>
      <c r="P1294" s="2">
        <v>43784.75</v>
      </c>
      <c r="Q1294" s="1" t="s">
        <v>373</v>
      </c>
      <c r="R1294" s="3">
        <v>43784.0</v>
      </c>
      <c r="S1294" s="1"/>
      <c r="T1294" s="1">
        <v>2615607.0</v>
      </c>
      <c r="U1294" s="1" t="s">
        <v>5422</v>
      </c>
      <c r="V1294" s="1" t="s">
        <v>1037</v>
      </c>
      <c r="W1294" s="1" t="s">
        <v>113</v>
      </c>
      <c r="X1294" s="1"/>
      <c r="Y1294" s="1" t="str">
        <f>"02019000680202040"</f>
        <v>02019000680202040</v>
      </c>
      <c r="Z1294" s="1" t="s">
        <v>215</v>
      </c>
      <c r="AA1294" s="1" t="s">
        <v>5486</v>
      </c>
      <c r="AB1294" s="1" t="str">
        <f>"***326564**"</f>
        <v>***326564**</v>
      </c>
      <c r="AC1294" s="1"/>
      <c r="AD1294" s="1"/>
      <c r="AE1294" s="1"/>
      <c r="AF1294" s="1">
        <v>-40.248055</v>
      </c>
      <c r="AG1294" s="1">
        <v>-7.725278</v>
      </c>
      <c r="AH1294" s="1" t="s">
        <v>5487</v>
      </c>
      <c r="AI1294" s="1"/>
      <c r="AJ1294" s="1" t="s">
        <v>1040</v>
      </c>
      <c r="AK1294" s="1"/>
      <c r="AL1294" s="1" t="s">
        <v>79</v>
      </c>
      <c r="AM1294" s="1" t="s">
        <v>65</v>
      </c>
      <c r="AN1294" s="1" t="s">
        <v>1279</v>
      </c>
      <c r="AO1294" s="2">
        <v>44215.0</v>
      </c>
      <c r="AP1294" s="2">
        <v>44215.7428009259</v>
      </c>
      <c r="AQ1294" s="1" t="s">
        <v>80</v>
      </c>
      <c r="AR1294" s="1" t="s">
        <v>909</v>
      </c>
      <c r="AS1294" s="1"/>
      <c r="AT1294" s="2">
        <v>44269.931099537</v>
      </c>
    </row>
    <row r="1295" ht="13.5" customHeight="1">
      <c r="A1295" s="1">
        <v>2043619.0</v>
      </c>
      <c r="B1295" s="1" t="s">
        <v>67</v>
      </c>
      <c r="C1295" s="1" t="s">
        <v>68</v>
      </c>
      <c r="D1295" s="1" t="s">
        <v>46</v>
      </c>
      <c r="E1295" s="1" t="s">
        <v>5488</v>
      </c>
      <c r="F1295" s="1"/>
      <c r="G1295" s="1" t="s">
        <v>70</v>
      </c>
      <c r="H1295" s="1" t="s">
        <v>93</v>
      </c>
      <c r="I1295" s="1">
        <v>60000.0</v>
      </c>
      <c r="J1295" s="1"/>
      <c r="K1295" s="1"/>
      <c r="L1295" s="1" t="s">
        <v>172</v>
      </c>
      <c r="M1295" s="1" t="s">
        <v>5489</v>
      </c>
      <c r="N1295" s="1" t="s">
        <v>142</v>
      </c>
      <c r="O1295" s="1" t="s">
        <v>143</v>
      </c>
      <c r="P1295" s="2">
        <v>43784.7083333333</v>
      </c>
      <c r="Q1295" s="1" t="s">
        <v>373</v>
      </c>
      <c r="R1295" s="3">
        <v>43784.0</v>
      </c>
      <c r="S1295" s="1"/>
      <c r="T1295" s="1">
        <v>1100338.0</v>
      </c>
      <c r="U1295" s="1" t="s">
        <v>5017</v>
      </c>
      <c r="V1295" s="1" t="s">
        <v>448</v>
      </c>
      <c r="W1295" s="1" t="s">
        <v>177</v>
      </c>
      <c r="X1295" s="1"/>
      <c r="Y1295" s="1" t="str">
        <f>"02001002950202046"</f>
        <v>02001002950202046</v>
      </c>
      <c r="Z1295" s="1" t="s">
        <v>147</v>
      </c>
      <c r="AA1295" s="1" t="s">
        <v>5490</v>
      </c>
      <c r="AB1295" s="1" t="str">
        <f>"***470099**"</f>
        <v>***470099**</v>
      </c>
      <c r="AC1295" s="1"/>
      <c r="AD1295" s="1"/>
      <c r="AE1295" s="1"/>
      <c r="AF1295" s="1">
        <v>-65.049446</v>
      </c>
      <c r="AG1295" s="1">
        <v>-10.066112</v>
      </c>
      <c r="AH1295" s="1" t="s">
        <v>5491</v>
      </c>
      <c r="AI1295" s="1"/>
      <c r="AJ1295" s="1" t="s">
        <v>172</v>
      </c>
      <c r="AK1295" s="1"/>
      <c r="AL1295" s="1" t="s">
        <v>79</v>
      </c>
      <c r="AM1295" s="1" t="s">
        <v>65</v>
      </c>
      <c r="AN1295" s="1" t="s">
        <v>1395</v>
      </c>
      <c r="AO1295" s="2">
        <v>44245.0</v>
      </c>
      <c r="AP1295" s="2">
        <v>44245.7788888889</v>
      </c>
      <c r="AQ1295" s="1" t="s">
        <v>80</v>
      </c>
      <c r="AR1295" s="1" t="s">
        <v>421</v>
      </c>
      <c r="AS1295" s="1"/>
      <c r="AT1295" s="2">
        <v>44269.931099537</v>
      </c>
    </row>
    <row r="1296" ht="13.5" customHeight="1">
      <c r="A1296" s="1">
        <v>2035376.0</v>
      </c>
      <c r="B1296" s="1" t="s">
        <v>67</v>
      </c>
      <c r="C1296" s="1" t="s">
        <v>68</v>
      </c>
      <c r="D1296" s="1" t="s">
        <v>46</v>
      </c>
      <c r="E1296" s="1" t="s">
        <v>5492</v>
      </c>
      <c r="F1296" s="1"/>
      <c r="G1296" s="1" t="s">
        <v>70</v>
      </c>
      <c r="H1296" s="1" t="s">
        <v>93</v>
      </c>
      <c r="I1296" s="1">
        <v>24000.0</v>
      </c>
      <c r="J1296" s="1"/>
      <c r="K1296" s="1"/>
      <c r="L1296" s="1" t="s">
        <v>172</v>
      </c>
      <c r="M1296" s="1" t="s">
        <v>5493</v>
      </c>
      <c r="N1296" s="1" t="s">
        <v>142</v>
      </c>
      <c r="O1296" s="1" t="s">
        <v>143</v>
      </c>
      <c r="P1296" s="2">
        <v>43784.6666666667</v>
      </c>
      <c r="Q1296" s="1" t="s">
        <v>373</v>
      </c>
      <c r="R1296" s="3">
        <v>43784.0</v>
      </c>
      <c r="S1296" s="1"/>
      <c r="T1296" s="1">
        <v>1100338.0</v>
      </c>
      <c r="U1296" s="1" t="s">
        <v>5017</v>
      </c>
      <c r="V1296" s="1" t="s">
        <v>448</v>
      </c>
      <c r="W1296" s="1" t="s">
        <v>177</v>
      </c>
      <c r="X1296" s="1"/>
      <c r="Y1296" s="1" t="str">
        <f>"02001006606202026"</f>
        <v>02001006606202026</v>
      </c>
      <c r="Z1296" s="1" t="s">
        <v>147</v>
      </c>
      <c r="AA1296" s="1" t="s">
        <v>5494</v>
      </c>
      <c r="AB1296" s="1" t="str">
        <f>"***600372**"</f>
        <v>***600372**</v>
      </c>
      <c r="AC1296" s="1"/>
      <c r="AD1296" s="1"/>
      <c r="AE1296" s="1"/>
      <c r="AF1296" s="1">
        <v>-65.00972</v>
      </c>
      <c r="AG1296" s="1">
        <v>-10.061111</v>
      </c>
      <c r="AH1296" s="1" t="s">
        <v>5495</v>
      </c>
      <c r="AI1296" s="1"/>
      <c r="AJ1296" s="1" t="s">
        <v>172</v>
      </c>
      <c r="AK1296" s="1"/>
      <c r="AL1296" s="1" t="s">
        <v>79</v>
      </c>
      <c r="AM1296" s="1" t="s">
        <v>65</v>
      </c>
      <c r="AN1296" s="1" t="s">
        <v>1395</v>
      </c>
      <c r="AO1296" s="2">
        <v>43901.0</v>
      </c>
      <c r="AP1296" s="2">
        <v>43901.6625115741</v>
      </c>
      <c r="AQ1296" s="1" t="s">
        <v>80</v>
      </c>
      <c r="AR1296" s="1" t="s">
        <v>421</v>
      </c>
      <c r="AS1296" s="1"/>
      <c r="AT1296" s="2">
        <v>44269.931099537</v>
      </c>
    </row>
    <row r="1297" ht="13.5" customHeight="1">
      <c r="A1297" s="1"/>
      <c r="B1297" s="1" t="s">
        <v>46</v>
      </c>
      <c r="C1297" s="1" t="s">
        <v>47</v>
      </c>
      <c r="D1297" s="1"/>
      <c r="E1297" s="1" t="s">
        <v>5496</v>
      </c>
      <c r="F1297" s="1"/>
      <c r="G1297" s="1"/>
      <c r="H1297" s="1" t="s">
        <v>93</v>
      </c>
      <c r="I1297" s="1">
        <v>25000.0</v>
      </c>
      <c r="J1297" s="1"/>
      <c r="K1297" s="1"/>
      <c r="L1297" s="1"/>
      <c r="M1297" s="1" t="s">
        <v>5497</v>
      </c>
      <c r="N1297" s="1" t="s">
        <v>142</v>
      </c>
      <c r="O1297" s="1" t="s">
        <v>143</v>
      </c>
      <c r="P1297" s="2">
        <v>43784.6259722222</v>
      </c>
      <c r="Q1297" s="1" t="s">
        <v>373</v>
      </c>
      <c r="R1297" s="1"/>
      <c r="S1297" s="1"/>
      <c r="T1297" s="1">
        <v>1100338.0</v>
      </c>
      <c r="U1297" s="1" t="s">
        <v>5017</v>
      </c>
      <c r="V1297" s="1" t="s">
        <v>448</v>
      </c>
      <c r="W1297" s="1" t="s">
        <v>177</v>
      </c>
      <c r="X1297" s="1"/>
      <c r="Y1297" s="1"/>
      <c r="Z1297" s="1" t="s">
        <v>147</v>
      </c>
      <c r="AA1297" s="1" t="s">
        <v>5498</v>
      </c>
      <c r="AB1297" s="1" t="str">
        <f>"***580802**"</f>
        <v>***580802**</v>
      </c>
      <c r="AC1297" s="1"/>
      <c r="AD1297" s="1" t="s">
        <v>116</v>
      </c>
      <c r="AE1297" s="1"/>
      <c r="AF1297" s="1">
        <v>-65.321388</v>
      </c>
      <c r="AG1297" s="1">
        <v>-10.054723</v>
      </c>
      <c r="AH1297" s="1" t="s">
        <v>5499</v>
      </c>
      <c r="AI1297" s="1"/>
      <c r="AJ1297" s="1" t="s">
        <v>172</v>
      </c>
      <c r="AK1297" s="1"/>
      <c r="AL1297" s="1"/>
      <c r="AM1297" s="1" t="s">
        <v>65</v>
      </c>
      <c r="AN1297" s="1" t="s">
        <v>1395</v>
      </c>
      <c r="AO1297" s="1"/>
      <c r="AP1297" s="2">
        <v>43788.7655555556</v>
      </c>
      <c r="AQ1297" s="1"/>
      <c r="AR1297" s="1" t="s">
        <v>644</v>
      </c>
      <c r="AS1297" s="1" t="s">
        <v>5500</v>
      </c>
      <c r="AT1297" s="2">
        <v>44269.931099537</v>
      </c>
    </row>
    <row r="1298" ht="13.5" customHeight="1">
      <c r="A1298" s="1"/>
      <c r="B1298" s="1" t="s">
        <v>46</v>
      </c>
      <c r="C1298" s="1" t="s">
        <v>47</v>
      </c>
      <c r="D1298" s="1"/>
      <c r="E1298" s="1" t="s">
        <v>5501</v>
      </c>
      <c r="F1298" s="1"/>
      <c r="G1298" s="1"/>
      <c r="H1298" s="1" t="s">
        <v>93</v>
      </c>
      <c r="I1298" s="1">
        <v>20000.0</v>
      </c>
      <c r="J1298" s="1"/>
      <c r="K1298" s="1"/>
      <c r="L1298" s="1"/>
      <c r="M1298" s="1" t="s">
        <v>5502</v>
      </c>
      <c r="N1298" s="1" t="s">
        <v>142</v>
      </c>
      <c r="O1298" s="1" t="s">
        <v>143</v>
      </c>
      <c r="P1298" s="2">
        <v>43784.5881481482</v>
      </c>
      <c r="Q1298" s="1" t="s">
        <v>55</v>
      </c>
      <c r="R1298" s="1"/>
      <c r="S1298" s="1"/>
      <c r="T1298" s="1">
        <v>1100338.0</v>
      </c>
      <c r="U1298" s="1" t="s">
        <v>5017</v>
      </c>
      <c r="V1298" s="1" t="s">
        <v>448</v>
      </c>
      <c r="W1298" s="1" t="s">
        <v>177</v>
      </c>
      <c r="X1298" s="1"/>
      <c r="Y1298" s="1"/>
      <c r="Z1298" s="1" t="s">
        <v>147</v>
      </c>
      <c r="AA1298" s="1" t="s">
        <v>5503</v>
      </c>
      <c r="AB1298" s="1" t="str">
        <f>"***070412**"</f>
        <v>***070412**</v>
      </c>
      <c r="AC1298" s="1">
        <v>4.0</v>
      </c>
      <c r="AD1298" s="1" t="s">
        <v>116</v>
      </c>
      <c r="AE1298" s="1"/>
      <c r="AF1298" s="1">
        <v>-65.321388</v>
      </c>
      <c r="AG1298" s="1">
        <v>-10.054723</v>
      </c>
      <c r="AH1298" s="1" t="s">
        <v>5504</v>
      </c>
      <c r="AI1298" s="1"/>
      <c r="AJ1298" s="1" t="s">
        <v>172</v>
      </c>
      <c r="AK1298" s="1"/>
      <c r="AL1298" s="1"/>
      <c r="AM1298" s="1" t="s">
        <v>65</v>
      </c>
      <c r="AN1298" s="1" t="s">
        <v>1395</v>
      </c>
      <c r="AO1298" s="1"/>
      <c r="AP1298" s="2">
        <v>43784.5956365741</v>
      </c>
      <c r="AQ1298" s="1"/>
      <c r="AR1298" s="1" t="s">
        <v>644</v>
      </c>
      <c r="AS1298" s="1" t="s">
        <v>5505</v>
      </c>
      <c r="AT1298" s="2">
        <v>44269.931099537</v>
      </c>
    </row>
    <row r="1299" ht="13.5" customHeight="1">
      <c r="A1299" s="1">
        <v>2044080.0</v>
      </c>
      <c r="B1299" s="1" t="s">
        <v>67</v>
      </c>
      <c r="C1299" s="1" t="s">
        <v>68</v>
      </c>
      <c r="D1299" s="1" t="s">
        <v>46</v>
      </c>
      <c r="E1299" s="1" t="s">
        <v>5506</v>
      </c>
      <c r="F1299" s="1"/>
      <c r="G1299" s="1" t="s">
        <v>70</v>
      </c>
      <c r="H1299" s="1" t="s">
        <v>93</v>
      </c>
      <c r="I1299" s="1">
        <v>120000.0</v>
      </c>
      <c r="J1299" s="1"/>
      <c r="K1299" s="1"/>
      <c r="L1299" s="1" t="s">
        <v>172</v>
      </c>
      <c r="M1299" s="1" t="s">
        <v>5507</v>
      </c>
      <c r="N1299" s="1" t="s">
        <v>142</v>
      </c>
      <c r="O1299" s="1" t="s">
        <v>143</v>
      </c>
      <c r="P1299" s="2">
        <v>43784.5833333333</v>
      </c>
      <c r="Q1299" s="1" t="s">
        <v>373</v>
      </c>
      <c r="R1299" s="3">
        <v>43784.0</v>
      </c>
      <c r="S1299" s="1"/>
      <c r="T1299" s="1">
        <v>1100338.0</v>
      </c>
      <c r="U1299" s="1" t="s">
        <v>5017</v>
      </c>
      <c r="V1299" s="1" t="s">
        <v>448</v>
      </c>
      <c r="W1299" s="1" t="s">
        <v>177</v>
      </c>
      <c r="X1299" s="1"/>
      <c r="Y1299" s="1" t="str">
        <f>"02001002948202077"</f>
        <v>02001002948202077</v>
      </c>
      <c r="Z1299" s="1" t="s">
        <v>147</v>
      </c>
      <c r="AA1299" s="1" t="s">
        <v>5508</v>
      </c>
      <c r="AB1299" s="1" t="str">
        <f>"***366636**"</f>
        <v>***366636**</v>
      </c>
      <c r="AC1299" s="1"/>
      <c r="AD1299" s="1"/>
      <c r="AE1299" s="1"/>
      <c r="AF1299" s="1">
        <v>-65.038055</v>
      </c>
      <c r="AG1299" s="1">
        <v>-10.096944</v>
      </c>
      <c r="AH1299" s="1" t="s">
        <v>5509</v>
      </c>
      <c r="AI1299" s="1"/>
      <c r="AJ1299" s="1" t="s">
        <v>172</v>
      </c>
      <c r="AK1299" s="1"/>
      <c r="AL1299" s="1" t="s">
        <v>79</v>
      </c>
      <c r="AM1299" s="1" t="s">
        <v>65</v>
      </c>
      <c r="AN1299" s="1" t="s">
        <v>1395</v>
      </c>
      <c r="AO1299" s="2">
        <v>44260.0</v>
      </c>
      <c r="AP1299" s="2">
        <v>44260.7757407407</v>
      </c>
      <c r="AQ1299" s="1" t="s">
        <v>80</v>
      </c>
      <c r="AR1299" s="1" t="s">
        <v>421</v>
      </c>
      <c r="AS1299" s="1"/>
      <c r="AT1299" s="2">
        <v>44269.931099537</v>
      </c>
    </row>
    <row r="1300" ht="13.5" customHeight="1">
      <c r="A1300" s="1">
        <v>2035375.0</v>
      </c>
      <c r="B1300" s="1" t="s">
        <v>67</v>
      </c>
      <c r="C1300" s="1" t="s">
        <v>68</v>
      </c>
      <c r="D1300" s="1" t="s">
        <v>46</v>
      </c>
      <c r="E1300" s="1" t="s">
        <v>5510</v>
      </c>
      <c r="F1300" s="1"/>
      <c r="G1300" s="1" t="s">
        <v>70</v>
      </c>
      <c r="H1300" s="1" t="s">
        <v>93</v>
      </c>
      <c r="I1300" s="1">
        <v>35000.0</v>
      </c>
      <c r="J1300" s="1"/>
      <c r="K1300" s="1"/>
      <c r="L1300" s="1" t="s">
        <v>172</v>
      </c>
      <c r="M1300" s="1" t="s">
        <v>5511</v>
      </c>
      <c r="N1300" s="1" t="s">
        <v>142</v>
      </c>
      <c r="O1300" s="1" t="s">
        <v>143</v>
      </c>
      <c r="P1300" s="2">
        <v>43784.5416666667</v>
      </c>
      <c r="Q1300" s="1" t="s">
        <v>373</v>
      </c>
      <c r="R1300" s="3">
        <v>43784.0</v>
      </c>
      <c r="S1300" s="1"/>
      <c r="T1300" s="1">
        <v>1100338.0</v>
      </c>
      <c r="U1300" s="1" t="s">
        <v>5017</v>
      </c>
      <c r="V1300" s="1" t="s">
        <v>448</v>
      </c>
      <c r="W1300" s="1" t="s">
        <v>177</v>
      </c>
      <c r="X1300" s="1"/>
      <c r="Y1300" s="1" t="str">
        <f>"02001006605202081"</f>
        <v>02001006605202081</v>
      </c>
      <c r="Z1300" s="1" t="s">
        <v>147</v>
      </c>
      <c r="AA1300" s="1" t="s">
        <v>5512</v>
      </c>
      <c r="AB1300" s="1" t="str">
        <f>"***351151**"</f>
        <v>***351151**</v>
      </c>
      <c r="AC1300" s="1"/>
      <c r="AD1300" s="1"/>
      <c r="AE1300" s="1"/>
      <c r="AF1300" s="1">
        <v>-6.037778</v>
      </c>
      <c r="AG1300" s="1">
        <v>-10.066112</v>
      </c>
      <c r="AH1300" s="1" t="s">
        <v>5513</v>
      </c>
      <c r="AI1300" s="1"/>
      <c r="AJ1300" s="1" t="s">
        <v>172</v>
      </c>
      <c r="AK1300" s="1"/>
      <c r="AL1300" s="1" t="s">
        <v>79</v>
      </c>
      <c r="AM1300" s="1" t="s">
        <v>65</v>
      </c>
      <c r="AN1300" s="1" t="s">
        <v>1395</v>
      </c>
      <c r="AO1300" s="2">
        <v>43901.0</v>
      </c>
      <c r="AP1300" s="2">
        <v>43901.6614351852</v>
      </c>
      <c r="AQ1300" s="1" t="s">
        <v>80</v>
      </c>
      <c r="AR1300" s="1" t="s">
        <v>421</v>
      </c>
      <c r="AS1300" s="1"/>
      <c r="AT1300" s="2">
        <v>44269.931099537</v>
      </c>
    </row>
    <row r="1301" ht="13.5" customHeight="1">
      <c r="A1301" s="1">
        <v>2037881.0</v>
      </c>
      <c r="B1301" s="1" t="s">
        <v>67</v>
      </c>
      <c r="C1301" s="1" t="s">
        <v>68</v>
      </c>
      <c r="D1301" s="1" t="s">
        <v>46</v>
      </c>
      <c r="E1301" s="1" t="s">
        <v>5514</v>
      </c>
      <c r="F1301" s="1"/>
      <c r="G1301" s="1" t="s">
        <v>70</v>
      </c>
      <c r="H1301" s="1" t="s">
        <v>93</v>
      </c>
      <c r="I1301" s="1">
        <v>165000.0</v>
      </c>
      <c r="J1301" s="1"/>
      <c r="K1301" s="1"/>
      <c r="L1301" s="1" t="s">
        <v>172</v>
      </c>
      <c r="M1301" s="1" t="s">
        <v>5515</v>
      </c>
      <c r="N1301" s="1" t="s">
        <v>142</v>
      </c>
      <c r="O1301" s="1" t="s">
        <v>143</v>
      </c>
      <c r="P1301" s="2">
        <v>43784.5416666667</v>
      </c>
      <c r="Q1301" s="1" t="s">
        <v>373</v>
      </c>
      <c r="R1301" s="3">
        <v>43784.0</v>
      </c>
      <c r="S1301" s="1"/>
      <c r="T1301" s="1">
        <v>1100338.0</v>
      </c>
      <c r="U1301" s="1" t="s">
        <v>5017</v>
      </c>
      <c r="V1301" s="1" t="s">
        <v>448</v>
      </c>
      <c r="W1301" s="1" t="s">
        <v>177</v>
      </c>
      <c r="X1301" s="1"/>
      <c r="Y1301" s="1" t="str">
        <f>"02001002951202091"</f>
        <v>02001002951202091</v>
      </c>
      <c r="Z1301" s="1" t="s">
        <v>147</v>
      </c>
      <c r="AA1301" s="1" t="s">
        <v>5516</v>
      </c>
      <c r="AB1301" s="1" t="str">
        <f>"***346492**"</f>
        <v>***346492**</v>
      </c>
      <c r="AC1301" s="1"/>
      <c r="AD1301" s="1"/>
      <c r="AE1301" s="1"/>
      <c r="AF1301" s="1">
        <v>-65.006386</v>
      </c>
      <c r="AG1301" s="1">
        <v>-10.088333</v>
      </c>
      <c r="AH1301" s="1" t="s">
        <v>5517</v>
      </c>
      <c r="AI1301" s="1"/>
      <c r="AJ1301" s="1" t="s">
        <v>172</v>
      </c>
      <c r="AK1301" s="1"/>
      <c r="AL1301" s="1" t="s">
        <v>79</v>
      </c>
      <c r="AM1301" s="1" t="s">
        <v>65</v>
      </c>
      <c r="AN1301" s="1" t="s">
        <v>1395</v>
      </c>
      <c r="AO1301" s="2">
        <v>44013.0</v>
      </c>
      <c r="AP1301" s="2">
        <v>44013.5936574074</v>
      </c>
      <c r="AQ1301" s="1" t="s">
        <v>80</v>
      </c>
      <c r="AR1301" s="1" t="s">
        <v>451</v>
      </c>
      <c r="AS1301" s="1"/>
      <c r="AT1301" s="2">
        <v>44269.931099537</v>
      </c>
    </row>
    <row r="1302" ht="13.5" customHeight="1">
      <c r="A1302" s="1"/>
      <c r="B1302" s="1" t="s">
        <v>46</v>
      </c>
      <c r="C1302" s="1" t="s">
        <v>47</v>
      </c>
      <c r="D1302" s="1"/>
      <c r="E1302" s="1" t="s">
        <v>5518</v>
      </c>
      <c r="F1302" s="1"/>
      <c r="G1302" s="1"/>
      <c r="H1302" s="1" t="s">
        <v>50</v>
      </c>
      <c r="I1302" s="1">
        <v>11500.0</v>
      </c>
      <c r="J1302" s="1"/>
      <c r="K1302" s="1" t="s">
        <v>140</v>
      </c>
      <c r="L1302" s="1"/>
      <c r="M1302" s="1" t="s">
        <v>5519</v>
      </c>
      <c r="N1302" s="1" t="s">
        <v>123</v>
      </c>
      <c r="O1302" s="1" t="s">
        <v>73</v>
      </c>
      <c r="P1302" s="2">
        <v>43783.7772337963</v>
      </c>
      <c r="Q1302" s="1" t="s">
        <v>74</v>
      </c>
      <c r="R1302" s="1"/>
      <c r="S1302" s="1"/>
      <c r="T1302" s="1">
        <v>4108304.0</v>
      </c>
      <c r="U1302" s="1" t="s">
        <v>5055</v>
      </c>
      <c r="V1302" s="1" t="s">
        <v>176</v>
      </c>
      <c r="W1302" s="1" t="s">
        <v>59</v>
      </c>
      <c r="X1302" s="1"/>
      <c r="Y1302" s="1"/>
      <c r="Z1302" s="1" t="s">
        <v>76</v>
      </c>
      <c r="AA1302" s="1" t="s">
        <v>5520</v>
      </c>
      <c r="AB1302" s="1" t="str">
        <f>"***867829**"</f>
        <v>***867829**</v>
      </c>
      <c r="AC1302" s="1"/>
      <c r="AD1302" s="1" t="s">
        <v>62</v>
      </c>
      <c r="AE1302" s="1"/>
      <c r="AF1302" s="1">
        <v>-54.585831</v>
      </c>
      <c r="AG1302" s="1">
        <v>-25.549444</v>
      </c>
      <c r="AH1302" s="1" t="s">
        <v>5521</v>
      </c>
      <c r="AI1302" s="1"/>
      <c r="AJ1302" s="1" t="s">
        <v>358</v>
      </c>
      <c r="AK1302" s="1"/>
      <c r="AL1302" s="1"/>
      <c r="AM1302" s="1" t="s">
        <v>65</v>
      </c>
      <c r="AN1302" s="1" t="s">
        <v>1950</v>
      </c>
      <c r="AO1302" s="1"/>
      <c r="AP1302" s="2">
        <v>43783.7940509259</v>
      </c>
      <c r="AQ1302" s="1"/>
      <c r="AR1302" s="1" t="s">
        <v>153</v>
      </c>
      <c r="AS1302" s="1" t="s">
        <v>5058</v>
      </c>
      <c r="AT1302" s="2">
        <v>44269.931099537</v>
      </c>
    </row>
    <row r="1303" ht="13.5" customHeight="1">
      <c r="A1303" s="1">
        <v>2038744.0</v>
      </c>
      <c r="B1303" s="1" t="s">
        <v>67</v>
      </c>
      <c r="C1303" s="1" t="s">
        <v>68</v>
      </c>
      <c r="D1303" s="1" t="s">
        <v>46</v>
      </c>
      <c r="E1303" s="1" t="s">
        <v>5522</v>
      </c>
      <c r="F1303" s="1"/>
      <c r="G1303" s="1" t="s">
        <v>70</v>
      </c>
      <c r="H1303" s="1" t="s">
        <v>93</v>
      </c>
      <c r="I1303" s="1">
        <v>500.0</v>
      </c>
      <c r="J1303" s="1"/>
      <c r="K1303" s="1"/>
      <c r="L1303" s="1" t="s">
        <v>415</v>
      </c>
      <c r="M1303" s="1" t="s">
        <v>5523</v>
      </c>
      <c r="N1303" s="1" t="s">
        <v>95</v>
      </c>
      <c r="O1303" s="1" t="s">
        <v>96</v>
      </c>
      <c r="P1303" s="2">
        <v>43783.75</v>
      </c>
      <c r="Q1303" s="1" t="s">
        <v>373</v>
      </c>
      <c r="R1303" s="3">
        <v>43783.0</v>
      </c>
      <c r="S1303" s="1"/>
      <c r="T1303" s="1">
        <v>1400100.0</v>
      </c>
      <c r="U1303" s="1" t="s">
        <v>185</v>
      </c>
      <c r="V1303" s="1" t="s">
        <v>186</v>
      </c>
      <c r="W1303" s="1" t="s">
        <v>177</v>
      </c>
      <c r="X1303" s="1"/>
      <c r="Y1303" s="1" t="str">
        <f>"02025001007202048"</f>
        <v>02025001007202048</v>
      </c>
      <c r="Z1303" s="1" t="s">
        <v>98</v>
      </c>
      <c r="AA1303" s="1" t="s">
        <v>5524</v>
      </c>
      <c r="AB1303" s="1" t="str">
        <f>"***587122**"</f>
        <v>***587122**</v>
      </c>
      <c r="AC1303" s="1"/>
      <c r="AD1303" s="1"/>
      <c r="AE1303" s="1"/>
      <c r="AF1303" s="1">
        <v>-60.696667</v>
      </c>
      <c r="AG1303" s="1">
        <v>2.8275</v>
      </c>
      <c r="AH1303" s="1" t="s">
        <v>5525</v>
      </c>
      <c r="AI1303" s="1"/>
      <c r="AJ1303" s="1" t="s">
        <v>415</v>
      </c>
      <c r="AK1303" s="1"/>
      <c r="AL1303" s="1" t="s">
        <v>79</v>
      </c>
      <c r="AM1303" s="1" t="s">
        <v>65</v>
      </c>
      <c r="AN1303" s="1" t="s">
        <v>1165</v>
      </c>
      <c r="AO1303" s="2">
        <v>44046.0</v>
      </c>
      <c r="AP1303" s="2">
        <v>44046.5013541667</v>
      </c>
      <c r="AQ1303" s="1" t="s">
        <v>80</v>
      </c>
      <c r="AR1303" s="1" t="s">
        <v>462</v>
      </c>
      <c r="AS1303" s="1" t="s">
        <v>5526</v>
      </c>
      <c r="AT1303" s="2">
        <v>44269.931099537</v>
      </c>
    </row>
    <row r="1304" ht="13.5" customHeight="1">
      <c r="A1304" s="1">
        <v>2042984.0</v>
      </c>
      <c r="B1304" s="1" t="s">
        <v>67</v>
      </c>
      <c r="C1304" s="1" t="s">
        <v>68</v>
      </c>
      <c r="D1304" s="1" t="s">
        <v>46</v>
      </c>
      <c r="E1304" s="1" t="s">
        <v>5527</v>
      </c>
      <c r="F1304" s="1"/>
      <c r="G1304" s="1" t="s">
        <v>70</v>
      </c>
      <c r="H1304" s="1" t="s">
        <v>93</v>
      </c>
      <c r="I1304" s="1">
        <v>195000.0</v>
      </c>
      <c r="J1304" s="1"/>
      <c r="K1304" s="1"/>
      <c r="L1304" s="1" t="s">
        <v>172</v>
      </c>
      <c r="M1304" s="1" t="s">
        <v>5528</v>
      </c>
      <c r="N1304" s="1" t="s">
        <v>142</v>
      </c>
      <c r="O1304" s="1" t="s">
        <v>143</v>
      </c>
      <c r="P1304" s="2">
        <v>43783.7083333333</v>
      </c>
      <c r="Q1304" s="1" t="s">
        <v>373</v>
      </c>
      <c r="R1304" s="3">
        <v>43783.0</v>
      </c>
      <c r="S1304" s="1"/>
      <c r="T1304" s="1">
        <v>1100338.0</v>
      </c>
      <c r="U1304" s="1" t="s">
        <v>5017</v>
      </c>
      <c r="V1304" s="1" t="s">
        <v>448</v>
      </c>
      <c r="W1304" s="1" t="s">
        <v>177</v>
      </c>
      <c r="X1304" s="1"/>
      <c r="Y1304" s="1" t="str">
        <f>"02001002945202033"</f>
        <v>02001002945202033</v>
      </c>
      <c r="Z1304" s="1" t="s">
        <v>147</v>
      </c>
      <c r="AA1304" s="1" t="s">
        <v>5529</v>
      </c>
      <c r="AB1304" s="1" t="str">
        <f>"***864722**"</f>
        <v>***864722**</v>
      </c>
      <c r="AC1304" s="1"/>
      <c r="AD1304" s="1"/>
      <c r="AE1304" s="1"/>
      <c r="AF1304" s="1">
        <v>-64.988052</v>
      </c>
      <c r="AG1304" s="1">
        <v>-10.071667</v>
      </c>
      <c r="AH1304" s="1" t="s">
        <v>5530</v>
      </c>
      <c r="AI1304" s="1"/>
      <c r="AJ1304" s="1" t="s">
        <v>172</v>
      </c>
      <c r="AK1304" s="1"/>
      <c r="AL1304" s="1" t="s">
        <v>79</v>
      </c>
      <c r="AM1304" s="1" t="s">
        <v>65</v>
      </c>
      <c r="AN1304" s="1" t="s">
        <v>1395</v>
      </c>
      <c r="AO1304" s="2">
        <v>44223.0</v>
      </c>
      <c r="AP1304" s="2">
        <v>44223.8191782407</v>
      </c>
      <c r="AQ1304" s="1" t="s">
        <v>80</v>
      </c>
      <c r="AR1304" s="1" t="s">
        <v>650</v>
      </c>
      <c r="AS1304" s="1" t="s">
        <v>5531</v>
      </c>
      <c r="AT1304" s="2">
        <v>44269.931099537</v>
      </c>
    </row>
    <row r="1305" ht="13.5" customHeight="1">
      <c r="A1305" s="1"/>
      <c r="B1305" s="1" t="s">
        <v>46</v>
      </c>
      <c r="C1305" s="1" t="s">
        <v>47</v>
      </c>
      <c r="D1305" s="1"/>
      <c r="E1305" s="1" t="s">
        <v>5532</v>
      </c>
      <c r="F1305" s="1"/>
      <c r="G1305" s="1" t="s">
        <v>49</v>
      </c>
      <c r="H1305" s="1" t="s">
        <v>93</v>
      </c>
      <c r="I1305" s="1">
        <v>160000.0</v>
      </c>
      <c r="J1305" s="1"/>
      <c r="K1305" s="1"/>
      <c r="L1305" s="1"/>
      <c r="M1305" s="1" t="s">
        <v>5533</v>
      </c>
      <c r="N1305" s="1" t="s">
        <v>142</v>
      </c>
      <c r="O1305" s="1" t="s">
        <v>143</v>
      </c>
      <c r="P1305" s="2">
        <v>43783.6740856482</v>
      </c>
      <c r="Q1305" s="1" t="s">
        <v>373</v>
      </c>
      <c r="R1305" s="1"/>
      <c r="S1305" s="1"/>
      <c r="T1305" s="1">
        <v>1100338.0</v>
      </c>
      <c r="U1305" s="1" t="s">
        <v>5017</v>
      </c>
      <c r="V1305" s="1" t="s">
        <v>448</v>
      </c>
      <c r="W1305" s="1" t="s">
        <v>177</v>
      </c>
      <c r="X1305" s="1"/>
      <c r="Y1305" s="1"/>
      <c r="Z1305" s="1" t="s">
        <v>147</v>
      </c>
      <c r="AA1305" s="1" t="s">
        <v>5534</v>
      </c>
      <c r="AB1305" s="1" t="str">
        <f>"***591316**"</f>
        <v>***591316**</v>
      </c>
      <c r="AC1305" s="1"/>
      <c r="AD1305" s="1" t="s">
        <v>116</v>
      </c>
      <c r="AE1305" s="1"/>
      <c r="AF1305" s="1">
        <v>-64.972221</v>
      </c>
      <c r="AG1305" s="1">
        <v>-10.074722</v>
      </c>
      <c r="AH1305" s="1" t="s">
        <v>5535</v>
      </c>
      <c r="AI1305" s="1"/>
      <c r="AJ1305" s="1" t="s">
        <v>172</v>
      </c>
      <c r="AK1305" s="1"/>
      <c r="AL1305" s="1"/>
      <c r="AM1305" s="1" t="s">
        <v>65</v>
      </c>
      <c r="AN1305" s="1" t="s">
        <v>1395</v>
      </c>
      <c r="AO1305" s="1"/>
      <c r="AP1305" s="2">
        <v>44015.8658680556</v>
      </c>
      <c r="AQ1305" s="1"/>
      <c r="AR1305" s="1" t="s">
        <v>3478</v>
      </c>
      <c r="AS1305" s="1"/>
      <c r="AT1305" s="2">
        <v>44269.931099537</v>
      </c>
    </row>
    <row r="1306" ht="13.5" customHeight="1">
      <c r="A1306" s="1"/>
      <c r="B1306" s="1" t="s">
        <v>46</v>
      </c>
      <c r="C1306" s="1" t="s">
        <v>47</v>
      </c>
      <c r="D1306" s="1"/>
      <c r="E1306" s="1" t="s">
        <v>5536</v>
      </c>
      <c r="F1306" s="1"/>
      <c r="G1306" s="1" t="s">
        <v>49</v>
      </c>
      <c r="H1306" s="1" t="s">
        <v>93</v>
      </c>
      <c r="I1306" s="1">
        <v>1025000.0</v>
      </c>
      <c r="J1306" s="1"/>
      <c r="K1306" s="1"/>
      <c r="L1306" s="1"/>
      <c r="M1306" s="1" t="s">
        <v>5537</v>
      </c>
      <c r="N1306" s="1" t="s">
        <v>142</v>
      </c>
      <c r="O1306" s="1" t="s">
        <v>143</v>
      </c>
      <c r="P1306" s="2">
        <v>43783.6669212963</v>
      </c>
      <c r="Q1306" s="1" t="s">
        <v>74</v>
      </c>
      <c r="R1306" s="3">
        <v>43796.0</v>
      </c>
      <c r="S1306" s="1"/>
      <c r="T1306" s="1">
        <v>2102325.0</v>
      </c>
      <c r="U1306" s="1" t="s">
        <v>5538</v>
      </c>
      <c r="V1306" s="1" t="s">
        <v>540</v>
      </c>
      <c r="W1306" s="1" t="s">
        <v>177</v>
      </c>
      <c r="X1306" s="1"/>
      <c r="Y1306" s="1"/>
      <c r="Z1306" s="1" t="s">
        <v>147</v>
      </c>
      <c r="AA1306" s="1" t="s">
        <v>5539</v>
      </c>
      <c r="AB1306" s="1" t="str">
        <f>"***218068**"</f>
        <v>***218068**</v>
      </c>
      <c r="AC1306" s="1"/>
      <c r="AD1306" s="1" t="s">
        <v>116</v>
      </c>
      <c r="AE1306" s="1"/>
      <c r="AF1306" s="1">
        <v>-46.326664</v>
      </c>
      <c r="AG1306" s="1">
        <v>-4.767777</v>
      </c>
      <c r="AH1306" s="1" t="s">
        <v>5540</v>
      </c>
      <c r="AI1306" s="1"/>
      <c r="AJ1306" s="1" t="s">
        <v>537</v>
      </c>
      <c r="AK1306" s="1"/>
      <c r="AL1306" s="1"/>
      <c r="AM1306" s="1" t="s">
        <v>65</v>
      </c>
      <c r="AN1306" s="1" t="s">
        <v>543</v>
      </c>
      <c r="AO1306" s="1"/>
      <c r="AP1306" s="2">
        <v>43783.6913425926</v>
      </c>
      <c r="AQ1306" s="1"/>
      <c r="AR1306" s="1" t="s">
        <v>3478</v>
      </c>
      <c r="AS1306" s="1"/>
      <c r="AT1306" s="2">
        <v>44269.931099537</v>
      </c>
    </row>
    <row r="1307" ht="13.5" customHeight="1">
      <c r="A1307" s="1">
        <v>2042700.0</v>
      </c>
      <c r="B1307" s="1" t="s">
        <v>67</v>
      </c>
      <c r="C1307" s="1" t="s">
        <v>68</v>
      </c>
      <c r="D1307" s="1" t="s">
        <v>46</v>
      </c>
      <c r="E1307" s="1" t="s">
        <v>5541</v>
      </c>
      <c r="F1307" s="1"/>
      <c r="G1307" s="1" t="s">
        <v>70</v>
      </c>
      <c r="H1307" s="1" t="s">
        <v>50</v>
      </c>
      <c r="I1307" s="1">
        <v>10500.0</v>
      </c>
      <c r="J1307" s="1"/>
      <c r="K1307" s="1"/>
      <c r="L1307" s="1" t="s">
        <v>1040</v>
      </c>
      <c r="M1307" s="1" t="s">
        <v>5542</v>
      </c>
      <c r="N1307" s="1" t="s">
        <v>72</v>
      </c>
      <c r="O1307" s="1" t="s">
        <v>213</v>
      </c>
      <c r="P1307" s="2">
        <v>43783.6666666667</v>
      </c>
      <c r="Q1307" s="1" t="s">
        <v>55</v>
      </c>
      <c r="R1307" s="1"/>
      <c r="S1307" s="1"/>
      <c r="T1307" s="1">
        <v>2615607.0</v>
      </c>
      <c r="U1307" s="1" t="s">
        <v>5422</v>
      </c>
      <c r="V1307" s="1" t="s">
        <v>1037</v>
      </c>
      <c r="W1307" s="1" t="s">
        <v>113</v>
      </c>
      <c r="X1307" s="1"/>
      <c r="Y1307" s="1" t="str">
        <f>"02019000679202015"</f>
        <v>02019000679202015</v>
      </c>
      <c r="Z1307" s="1" t="s">
        <v>215</v>
      </c>
      <c r="AA1307" s="1" t="s">
        <v>5543</v>
      </c>
      <c r="AB1307" s="1" t="str">
        <f>"24348096000141"</f>
        <v>24348096000141</v>
      </c>
      <c r="AC1307" s="1"/>
      <c r="AD1307" s="1"/>
      <c r="AE1307" s="1"/>
      <c r="AF1307" s="1">
        <v>-40.306667</v>
      </c>
      <c r="AG1307" s="1">
        <v>-7.730278</v>
      </c>
      <c r="AH1307" s="1" t="s">
        <v>5544</v>
      </c>
      <c r="AI1307" s="1"/>
      <c r="AJ1307" s="1" t="s">
        <v>1040</v>
      </c>
      <c r="AK1307" s="1"/>
      <c r="AL1307" s="1" t="s">
        <v>79</v>
      </c>
      <c r="AM1307" s="1" t="s">
        <v>65</v>
      </c>
      <c r="AN1307" s="1" t="s">
        <v>1279</v>
      </c>
      <c r="AO1307" s="2">
        <v>44215.0</v>
      </c>
      <c r="AP1307" s="2">
        <v>44215.7427083333</v>
      </c>
      <c r="AQ1307" s="1" t="s">
        <v>80</v>
      </c>
      <c r="AR1307" s="1" t="s">
        <v>909</v>
      </c>
      <c r="AS1307" s="1"/>
      <c r="AT1307" s="2">
        <v>44269.931099537</v>
      </c>
    </row>
    <row r="1308" ht="13.5" customHeight="1">
      <c r="A1308" s="1"/>
      <c r="B1308" s="1" t="s">
        <v>46</v>
      </c>
      <c r="C1308" s="1" t="s">
        <v>47</v>
      </c>
      <c r="D1308" s="1"/>
      <c r="E1308" s="1" t="s">
        <v>5545</v>
      </c>
      <c r="F1308" s="1"/>
      <c r="G1308" s="1"/>
      <c r="H1308" s="1" t="s">
        <v>93</v>
      </c>
      <c r="I1308" s="1">
        <v>490000.0</v>
      </c>
      <c r="J1308" s="1"/>
      <c r="K1308" s="1"/>
      <c r="L1308" s="1"/>
      <c r="M1308" s="1" t="s">
        <v>5546</v>
      </c>
      <c r="N1308" s="1" t="s">
        <v>142</v>
      </c>
      <c r="O1308" s="1" t="s">
        <v>143</v>
      </c>
      <c r="P1308" s="2">
        <v>43783.6238773148</v>
      </c>
      <c r="Q1308" s="1" t="s">
        <v>74</v>
      </c>
      <c r="R1308" s="1"/>
      <c r="S1308" s="1"/>
      <c r="T1308" s="1">
        <v>1507300.0</v>
      </c>
      <c r="U1308" s="1" t="s">
        <v>3161</v>
      </c>
      <c r="V1308" s="1" t="s">
        <v>193</v>
      </c>
      <c r="W1308" s="1" t="s">
        <v>177</v>
      </c>
      <c r="X1308" s="1"/>
      <c r="Y1308" s="1"/>
      <c r="Z1308" s="1" t="s">
        <v>147</v>
      </c>
      <c r="AA1308" s="1" t="s">
        <v>5547</v>
      </c>
      <c r="AB1308" s="1" t="str">
        <f>"***914661**"</f>
        <v>***914661**</v>
      </c>
      <c r="AC1308" s="1"/>
      <c r="AD1308" s="1" t="s">
        <v>116</v>
      </c>
      <c r="AE1308" s="1"/>
      <c r="AF1308" s="1">
        <v>-52.884724</v>
      </c>
      <c r="AG1308" s="1">
        <v>-6.424444</v>
      </c>
      <c r="AH1308" s="1" t="s">
        <v>5548</v>
      </c>
      <c r="AI1308" s="1"/>
      <c r="AJ1308" s="1" t="s">
        <v>172</v>
      </c>
      <c r="AK1308" s="1"/>
      <c r="AL1308" s="1"/>
      <c r="AM1308" s="1" t="s">
        <v>65</v>
      </c>
      <c r="AN1308" s="1" t="s">
        <v>2164</v>
      </c>
      <c r="AO1308" s="1"/>
      <c r="AP1308" s="2">
        <v>43783.6347569445</v>
      </c>
      <c r="AQ1308" s="1"/>
      <c r="AR1308" s="1" t="s">
        <v>644</v>
      </c>
      <c r="AS1308" s="1" t="s">
        <v>5549</v>
      </c>
      <c r="AT1308" s="2">
        <v>44269.931099537</v>
      </c>
    </row>
    <row r="1309" ht="13.5" customHeight="1">
      <c r="A1309" s="1"/>
      <c r="B1309" s="1" t="s">
        <v>46</v>
      </c>
      <c r="C1309" s="1" t="s">
        <v>47</v>
      </c>
      <c r="D1309" s="1"/>
      <c r="E1309" s="1" t="s">
        <v>5550</v>
      </c>
      <c r="F1309" s="1"/>
      <c r="G1309" s="1"/>
      <c r="H1309" s="1" t="s">
        <v>93</v>
      </c>
      <c r="I1309" s="1">
        <v>11700.0</v>
      </c>
      <c r="J1309" s="1"/>
      <c r="K1309" s="1"/>
      <c r="L1309" s="1"/>
      <c r="M1309" s="1" t="s">
        <v>5551</v>
      </c>
      <c r="N1309" s="1" t="s">
        <v>53</v>
      </c>
      <c r="O1309" s="1" t="s">
        <v>54</v>
      </c>
      <c r="P1309" s="2">
        <v>43783.5931365741</v>
      </c>
      <c r="Q1309" s="1" t="s">
        <v>74</v>
      </c>
      <c r="R1309" s="1"/>
      <c r="S1309" s="1"/>
      <c r="T1309" s="1">
        <v>4208203.0</v>
      </c>
      <c r="U1309" s="1" t="s">
        <v>735</v>
      </c>
      <c r="V1309" s="1" t="s">
        <v>267</v>
      </c>
      <c r="W1309" s="1" t="s">
        <v>288</v>
      </c>
      <c r="X1309" s="1"/>
      <c r="Y1309" s="1"/>
      <c r="Z1309" s="1" t="s">
        <v>60</v>
      </c>
      <c r="AA1309" s="1" t="s">
        <v>5231</v>
      </c>
      <c r="AB1309" s="1" t="str">
        <f>"***378639**"</f>
        <v>***378639**</v>
      </c>
      <c r="AC1309" s="1"/>
      <c r="AD1309" s="1" t="s">
        <v>62</v>
      </c>
      <c r="AE1309" s="1"/>
      <c r="AF1309" s="1">
        <v>-48.669724</v>
      </c>
      <c r="AG1309" s="1">
        <v>-26.918888</v>
      </c>
      <c r="AH1309" s="1" t="s">
        <v>5232</v>
      </c>
      <c r="AI1309" s="1"/>
      <c r="AJ1309" s="1" t="s">
        <v>264</v>
      </c>
      <c r="AK1309" s="1"/>
      <c r="AL1309" s="1"/>
      <c r="AM1309" s="1" t="s">
        <v>65</v>
      </c>
      <c r="AN1309" s="1"/>
      <c r="AO1309" s="1"/>
      <c r="AP1309" s="2">
        <v>43783.5962268519</v>
      </c>
      <c r="AQ1309" s="1"/>
      <c r="AR1309" s="1" t="s">
        <v>3247</v>
      </c>
      <c r="AS1309" s="1"/>
      <c r="AT1309" s="2">
        <v>44269.931099537</v>
      </c>
    </row>
    <row r="1310" ht="13.5" customHeight="1">
      <c r="A1310" s="1">
        <v>2038861.0</v>
      </c>
      <c r="B1310" s="1" t="s">
        <v>67</v>
      </c>
      <c r="C1310" s="1" t="s">
        <v>68</v>
      </c>
      <c r="D1310" s="1" t="s">
        <v>46</v>
      </c>
      <c r="E1310" s="1" t="s">
        <v>5552</v>
      </c>
      <c r="F1310" s="1"/>
      <c r="G1310" s="1" t="s">
        <v>70</v>
      </c>
      <c r="H1310" s="1" t="s">
        <v>93</v>
      </c>
      <c r="I1310" s="1">
        <v>150000.0</v>
      </c>
      <c r="J1310" s="1"/>
      <c r="K1310" s="1"/>
      <c r="L1310" s="1" t="s">
        <v>172</v>
      </c>
      <c r="M1310" s="1" t="s">
        <v>5553</v>
      </c>
      <c r="N1310" s="1" t="s">
        <v>142</v>
      </c>
      <c r="O1310" s="1" t="s">
        <v>143</v>
      </c>
      <c r="P1310" s="2">
        <v>43783.5833333333</v>
      </c>
      <c r="Q1310" s="1" t="s">
        <v>373</v>
      </c>
      <c r="R1310" s="3">
        <v>43783.0</v>
      </c>
      <c r="S1310" s="1"/>
      <c r="T1310" s="1">
        <v>1100338.0</v>
      </c>
      <c r="U1310" s="1" t="s">
        <v>5017</v>
      </c>
      <c r="V1310" s="1" t="s">
        <v>448</v>
      </c>
      <c r="W1310" s="1" t="s">
        <v>177</v>
      </c>
      <c r="X1310" s="1"/>
      <c r="Y1310" s="1" t="str">
        <f>"02001017777202081"</f>
        <v>02001017777202081</v>
      </c>
      <c r="Z1310" s="1" t="s">
        <v>147</v>
      </c>
      <c r="AA1310" s="1" t="s">
        <v>5554</v>
      </c>
      <c r="AB1310" s="1" t="str">
        <f>"***485201**"</f>
        <v>***485201**</v>
      </c>
      <c r="AC1310" s="1"/>
      <c r="AD1310" s="1"/>
      <c r="AE1310" s="1"/>
      <c r="AF1310" s="1">
        <v>-65.05056</v>
      </c>
      <c r="AG1310" s="1">
        <v>-10.087777</v>
      </c>
      <c r="AH1310" s="1" t="s">
        <v>5555</v>
      </c>
      <c r="AI1310" s="1"/>
      <c r="AJ1310" s="1" t="s">
        <v>172</v>
      </c>
      <c r="AK1310" s="1"/>
      <c r="AL1310" s="1" t="s">
        <v>79</v>
      </c>
      <c r="AM1310" s="1" t="s">
        <v>65</v>
      </c>
      <c r="AN1310" s="1" t="s">
        <v>1395</v>
      </c>
      <c r="AO1310" s="2">
        <v>44047.0</v>
      </c>
      <c r="AP1310" s="2">
        <v>44047.3628935185</v>
      </c>
      <c r="AQ1310" s="1" t="s">
        <v>80</v>
      </c>
      <c r="AR1310" s="1" t="s">
        <v>421</v>
      </c>
      <c r="AS1310" s="1" t="s">
        <v>5556</v>
      </c>
      <c r="AT1310" s="2">
        <v>44269.931099537</v>
      </c>
    </row>
    <row r="1311" ht="13.5" customHeight="1">
      <c r="A1311" s="1">
        <v>2043308.0</v>
      </c>
      <c r="B1311" s="1" t="s">
        <v>67</v>
      </c>
      <c r="C1311" s="1" t="s">
        <v>68</v>
      </c>
      <c r="D1311" s="1" t="s">
        <v>46</v>
      </c>
      <c r="E1311" s="1" t="s">
        <v>5557</v>
      </c>
      <c r="F1311" s="1"/>
      <c r="G1311" s="1" t="s">
        <v>70</v>
      </c>
      <c r="H1311" s="1" t="s">
        <v>93</v>
      </c>
      <c r="I1311" s="1">
        <v>34500.0</v>
      </c>
      <c r="J1311" s="1"/>
      <c r="K1311" s="1"/>
      <c r="L1311" s="1" t="s">
        <v>172</v>
      </c>
      <c r="M1311" s="1" t="s">
        <v>5558</v>
      </c>
      <c r="N1311" s="1" t="s">
        <v>142</v>
      </c>
      <c r="O1311" s="1" t="s">
        <v>143</v>
      </c>
      <c r="P1311" s="2">
        <v>43783.5833333333</v>
      </c>
      <c r="Q1311" s="1" t="s">
        <v>373</v>
      </c>
      <c r="R1311" s="3">
        <v>43783.0</v>
      </c>
      <c r="S1311" s="1"/>
      <c r="T1311" s="1">
        <v>5300108.0</v>
      </c>
      <c r="U1311" s="1" t="s">
        <v>1541</v>
      </c>
      <c r="V1311" s="1" t="s">
        <v>1542</v>
      </c>
      <c r="W1311" s="1" t="s">
        <v>127</v>
      </c>
      <c r="X1311" s="1"/>
      <c r="Y1311" s="1" t="str">
        <f>"02001002691202053"</f>
        <v>02001002691202053</v>
      </c>
      <c r="Z1311" s="1" t="s">
        <v>147</v>
      </c>
      <c r="AA1311" s="1" t="s">
        <v>5559</v>
      </c>
      <c r="AB1311" s="1" t="str">
        <f>"***433541**"</f>
        <v>***433541**</v>
      </c>
      <c r="AC1311" s="1"/>
      <c r="AD1311" s="1"/>
      <c r="AE1311" s="1"/>
      <c r="AF1311" s="1">
        <v>-47.800278</v>
      </c>
      <c r="AG1311" s="1">
        <v>-15.843888</v>
      </c>
      <c r="AH1311" s="1" t="s">
        <v>5560</v>
      </c>
      <c r="AI1311" s="1"/>
      <c r="AJ1311" s="1" t="s">
        <v>172</v>
      </c>
      <c r="AK1311" s="1"/>
      <c r="AL1311" s="1" t="s">
        <v>79</v>
      </c>
      <c r="AM1311" s="1" t="s">
        <v>65</v>
      </c>
      <c r="AN1311" s="1" t="s">
        <v>5561</v>
      </c>
      <c r="AO1311" s="2">
        <v>44235.0</v>
      </c>
      <c r="AP1311" s="2">
        <v>44235.7103587963</v>
      </c>
      <c r="AQ1311" s="1" t="s">
        <v>80</v>
      </c>
      <c r="AR1311" s="1" t="s">
        <v>181</v>
      </c>
      <c r="AS1311" s="1" t="s">
        <v>5562</v>
      </c>
      <c r="AT1311" s="2">
        <v>44269.931099537</v>
      </c>
    </row>
    <row r="1312" ht="13.5" customHeight="1">
      <c r="A1312" s="1"/>
      <c r="B1312" s="1" t="s">
        <v>46</v>
      </c>
      <c r="C1312" s="1" t="s">
        <v>47</v>
      </c>
      <c r="D1312" s="1"/>
      <c r="E1312" s="1" t="s">
        <v>5563</v>
      </c>
      <c r="F1312" s="1"/>
      <c r="G1312" s="1"/>
      <c r="H1312" s="1" t="s">
        <v>93</v>
      </c>
      <c r="I1312" s="1">
        <v>285000.0</v>
      </c>
      <c r="J1312" s="1"/>
      <c r="K1312" s="1"/>
      <c r="L1312" s="1"/>
      <c r="M1312" s="1" t="s">
        <v>5564</v>
      </c>
      <c r="N1312" s="1" t="s">
        <v>142</v>
      </c>
      <c r="O1312" s="1" t="s">
        <v>143</v>
      </c>
      <c r="P1312" s="2">
        <v>43783.5365740741</v>
      </c>
      <c r="Q1312" s="1" t="s">
        <v>74</v>
      </c>
      <c r="R1312" s="1"/>
      <c r="S1312" s="1"/>
      <c r="T1312" s="1">
        <v>1507300.0</v>
      </c>
      <c r="U1312" s="1" t="s">
        <v>3161</v>
      </c>
      <c r="V1312" s="1" t="s">
        <v>193</v>
      </c>
      <c r="W1312" s="1" t="s">
        <v>177</v>
      </c>
      <c r="X1312" s="1"/>
      <c r="Y1312" s="1"/>
      <c r="Z1312" s="1" t="s">
        <v>147</v>
      </c>
      <c r="AA1312" s="1" t="s">
        <v>5565</v>
      </c>
      <c r="AB1312" s="1" t="str">
        <f>"***657971**"</f>
        <v>***657971**</v>
      </c>
      <c r="AC1312" s="1"/>
      <c r="AD1312" s="1" t="s">
        <v>116</v>
      </c>
      <c r="AE1312" s="1"/>
      <c r="AF1312" s="1">
        <v>-52.811665</v>
      </c>
      <c r="AG1312" s="1">
        <v>-6.476389</v>
      </c>
      <c r="AH1312" s="1" t="s">
        <v>5566</v>
      </c>
      <c r="AI1312" s="1"/>
      <c r="AJ1312" s="1" t="s">
        <v>172</v>
      </c>
      <c r="AK1312" s="1"/>
      <c r="AL1312" s="1"/>
      <c r="AM1312" s="1" t="s">
        <v>65</v>
      </c>
      <c r="AN1312" s="1" t="s">
        <v>2164</v>
      </c>
      <c r="AO1312" s="1"/>
      <c r="AP1312" s="2">
        <v>43783.5712152778</v>
      </c>
      <c r="AQ1312" s="1"/>
      <c r="AR1312" s="1" t="s">
        <v>644</v>
      </c>
      <c r="AS1312" s="1" t="s">
        <v>5549</v>
      </c>
      <c r="AT1312" s="2">
        <v>44269.931099537</v>
      </c>
    </row>
    <row r="1313" ht="13.5" customHeight="1">
      <c r="A1313" s="1"/>
      <c r="B1313" s="1" t="s">
        <v>46</v>
      </c>
      <c r="C1313" s="1" t="s">
        <v>47</v>
      </c>
      <c r="D1313" s="1"/>
      <c r="E1313" s="1" t="s">
        <v>5567</v>
      </c>
      <c r="F1313" s="1"/>
      <c r="G1313" s="1"/>
      <c r="H1313" s="1" t="s">
        <v>93</v>
      </c>
      <c r="I1313" s="1">
        <v>9000.0</v>
      </c>
      <c r="J1313" s="1"/>
      <c r="K1313" s="1"/>
      <c r="L1313" s="1"/>
      <c r="M1313" s="1" t="s">
        <v>5568</v>
      </c>
      <c r="N1313" s="1" t="s">
        <v>108</v>
      </c>
      <c r="O1313" s="1" t="s">
        <v>109</v>
      </c>
      <c r="P1313" s="2">
        <v>43783.5227546296</v>
      </c>
      <c r="Q1313" s="1" t="s">
        <v>74</v>
      </c>
      <c r="R1313" s="3">
        <v>43805.0</v>
      </c>
      <c r="S1313" s="1"/>
      <c r="T1313" s="1">
        <v>5003207.0</v>
      </c>
      <c r="U1313" s="1" t="s">
        <v>917</v>
      </c>
      <c r="V1313" s="1" t="s">
        <v>529</v>
      </c>
      <c r="W1313" s="1" t="s">
        <v>530</v>
      </c>
      <c r="X1313" s="1"/>
      <c r="Y1313" s="1"/>
      <c r="Z1313" s="1" t="s">
        <v>226</v>
      </c>
      <c r="AA1313" s="1" t="s">
        <v>5569</v>
      </c>
      <c r="AB1313" s="1" t="str">
        <f>"02335956000765"</f>
        <v>02335956000765</v>
      </c>
      <c r="AC1313" s="1"/>
      <c r="AD1313" s="1" t="s">
        <v>62</v>
      </c>
      <c r="AE1313" s="1"/>
      <c r="AF1313" s="1">
        <v>-57.662224</v>
      </c>
      <c r="AG1313" s="1">
        <v>-19.01861</v>
      </c>
      <c r="AH1313" s="1" t="s">
        <v>5570</v>
      </c>
      <c r="AI1313" s="1"/>
      <c r="AJ1313" s="1" t="s">
        <v>533</v>
      </c>
      <c r="AK1313" s="1"/>
      <c r="AL1313" s="1"/>
      <c r="AM1313" s="1" t="s">
        <v>65</v>
      </c>
      <c r="AN1313" s="1"/>
      <c r="AO1313" s="1"/>
      <c r="AP1313" s="2">
        <v>43783.5520138889</v>
      </c>
      <c r="AQ1313" s="1"/>
      <c r="AR1313" s="1" t="s">
        <v>1328</v>
      </c>
      <c r="AS1313" s="1" t="s">
        <v>5571</v>
      </c>
      <c r="AT1313" s="2">
        <v>44269.931099537</v>
      </c>
    </row>
    <row r="1314" ht="13.5" customHeight="1">
      <c r="A1314" s="1"/>
      <c r="B1314" s="1" t="s">
        <v>46</v>
      </c>
      <c r="C1314" s="1" t="s">
        <v>47</v>
      </c>
      <c r="D1314" s="1"/>
      <c r="E1314" s="1" t="s">
        <v>5572</v>
      </c>
      <c r="F1314" s="1"/>
      <c r="G1314" s="1"/>
      <c r="H1314" s="1" t="s">
        <v>93</v>
      </c>
      <c r="I1314" s="1">
        <v>110500.0</v>
      </c>
      <c r="J1314" s="1"/>
      <c r="K1314" s="1" t="s">
        <v>140</v>
      </c>
      <c r="L1314" s="1"/>
      <c r="M1314" s="1" t="s">
        <v>5573</v>
      </c>
      <c r="N1314" s="1" t="s">
        <v>212</v>
      </c>
      <c r="O1314" s="1" t="s">
        <v>213</v>
      </c>
      <c r="P1314" s="2">
        <v>43783.5064699074</v>
      </c>
      <c r="Q1314" s="1" t="s">
        <v>55</v>
      </c>
      <c r="R1314" s="1"/>
      <c r="S1314" s="1"/>
      <c r="T1314" s="1">
        <v>5007703.0</v>
      </c>
      <c r="U1314" s="1" t="s">
        <v>5574</v>
      </c>
      <c r="V1314" s="1" t="s">
        <v>529</v>
      </c>
      <c r="W1314" s="1" t="s">
        <v>59</v>
      </c>
      <c r="X1314" s="1"/>
      <c r="Y1314" s="1"/>
      <c r="Z1314" s="1" t="s">
        <v>215</v>
      </c>
      <c r="AA1314" s="1" t="s">
        <v>5575</v>
      </c>
      <c r="AB1314" s="1" t="str">
        <f>"***700451**"</f>
        <v>***700451**</v>
      </c>
      <c r="AC1314" s="1"/>
      <c r="AD1314" s="1" t="s">
        <v>62</v>
      </c>
      <c r="AE1314" s="1"/>
      <c r="AF1314" s="1">
        <v>-55.129997</v>
      </c>
      <c r="AG1314" s="1">
        <v>-23.864166</v>
      </c>
      <c r="AH1314" s="1" t="s">
        <v>5576</v>
      </c>
      <c r="AI1314" s="1"/>
      <c r="AJ1314" s="1" t="s">
        <v>533</v>
      </c>
      <c r="AK1314" s="1"/>
      <c r="AL1314" s="1"/>
      <c r="AM1314" s="1" t="s">
        <v>65</v>
      </c>
      <c r="AN1314" s="1" t="s">
        <v>534</v>
      </c>
      <c r="AO1314" s="1"/>
      <c r="AP1314" s="2">
        <v>43783.5221180556</v>
      </c>
      <c r="AQ1314" s="1"/>
      <c r="AR1314" s="1" t="s">
        <v>5577</v>
      </c>
      <c r="AS1314" s="1"/>
      <c r="AT1314" s="2">
        <v>44269.931099537</v>
      </c>
    </row>
    <row r="1315" ht="13.5" customHeight="1">
      <c r="A1315" s="1">
        <v>2044091.0</v>
      </c>
      <c r="B1315" s="1" t="s">
        <v>67</v>
      </c>
      <c r="C1315" s="1" t="s">
        <v>68</v>
      </c>
      <c r="D1315" s="1" t="s">
        <v>46</v>
      </c>
      <c r="E1315" s="1" t="s">
        <v>5578</v>
      </c>
      <c r="F1315" s="1"/>
      <c r="G1315" s="1" t="s">
        <v>70</v>
      </c>
      <c r="H1315" s="1" t="s">
        <v>93</v>
      </c>
      <c r="I1315" s="1">
        <v>22000.0</v>
      </c>
      <c r="J1315" s="1"/>
      <c r="K1315" s="1"/>
      <c r="L1315" s="1" t="s">
        <v>533</v>
      </c>
      <c r="M1315" s="1" t="s">
        <v>5579</v>
      </c>
      <c r="N1315" s="1" t="s">
        <v>142</v>
      </c>
      <c r="O1315" s="1" t="s">
        <v>143</v>
      </c>
      <c r="P1315" s="2">
        <v>43783.5</v>
      </c>
      <c r="Q1315" s="1" t="s">
        <v>373</v>
      </c>
      <c r="R1315" s="3">
        <v>43783.0</v>
      </c>
      <c r="S1315" s="1"/>
      <c r="T1315" s="1">
        <v>5007703.0</v>
      </c>
      <c r="U1315" s="1" t="s">
        <v>5574</v>
      </c>
      <c r="V1315" s="1" t="s">
        <v>529</v>
      </c>
      <c r="W1315" s="1" t="s">
        <v>59</v>
      </c>
      <c r="X1315" s="1"/>
      <c r="Y1315" s="1" t="str">
        <f>"02014003287201914"</f>
        <v>02014003287201914</v>
      </c>
      <c r="Z1315" s="1" t="s">
        <v>147</v>
      </c>
      <c r="AA1315" s="1" t="s">
        <v>5580</v>
      </c>
      <c r="AB1315" s="1" t="str">
        <f>"***086721**"</f>
        <v>***086721**</v>
      </c>
      <c r="AC1315" s="1"/>
      <c r="AD1315" s="1"/>
      <c r="AE1315" s="1"/>
      <c r="AF1315" s="1">
        <v>-55.139725</v>
      </c>
      <c r="AG1315" s="1">
        <v>-23.941387</v>
      </c>
      <c r="AH1315" s="1" t="s">
        <v>5581</v>
      </c>
      <c r="AI1315" s="1">
        <v>643731.0</v>
      </c>
      <c r="AJ1315" s="1" t="s">
        <v>533</v>
      </c>
      <c r="AK1315" s="1"/>
      <c r="AL1315" s="1" t="s">
        <v>79</v>
      </c>
      <c r="AM1315" s="1" t="s">
        <v>65</v>
      </c>
      <c r="AN1315" s="1" t="s">
        <v>534</v>
      </c>
      <c r="AO1315" s="2">
        <v>44260.0</v>
      </c>
      <c r="AP1315" s="2">
        <v>44260.8318402778</v>
      </c>
      <c r="AQ1315" s="1" t="s">
        <v>80</v>
      </c>
      <c r="AR1315" s="1" t="s">
        <v>5582</v>
      </c>
      <c r="AS1315" s="1" t="s">
        <v>5583</v>
      </c>
      <c r="AT1315" s="2">
        <v>44269.931099537</v>
      </c>
    </row>
    <row r="1316" ht="13.5" customHeight="1">
      <c r="A1316" s="1"/>
      <c r="B1316" s="1" t="s">
        <v>46</v>
      </c>
      <c r="C1316" s="1" t="s">
        <v>47</v>
      </c>
      <c r="D1316" s="1"/>
      <c r="E1316" s="1" t="s">
        <v>5584</v>
      </c>
      <c r="F1316" s="1"/>
      <c r="G1316" s="1"/>
      <c r="H1316" s="1" t="s">
        <v>93</v>
      </c>
      <c r="I1316" s="1">
        <v>11170.0</v>
      </c>
      <c r="J1316" s="1"/>
      <c r="K1316" s="1"/>
      <c r="L1316" s="1"/>
      <c r="M1316" s="1" t="s">
        <v>5585</v>
      </c>
      <c r="N1316" s="1" t="s">
        <v>53</v>
      </c>
      <c r="O1316" s="1" t="s">
        <v>54</v>
      </c>
      <c r="P1316" s="2">
        <v>43783.4746643519</v>
      </c>
      <c r="Q1316" s="1" t="s">
        <v>74</v>
      </c>
      <c r="R1316" s="1"/>
      <c r="S1316" s="1"/>
      <c r="T1316" s="1">
        <v>4208203.0</v>
      </c>
      <c r="U1316" s="1" t="s">
        <v>735</v>
      </c>
      <c r="V1316" s="1" t="s">
        <v>267</v>
      </c>
      <c r="W1316" s="1" t="s">
        <v>288</v>
      </c>
      <c r="X1316" s="1"/>
      <c r="Y1316" s="1"/>
      <c r="Z1316" s="1" t="s">
        <v>60</v>
      </c>
      <c r="AA1316" s="1" t="s">
        <v>5231</v>
      </c>
      <c r="AB1316" s="1" t="str">
        <f>"***378639**"</f>
        <v>***378639**</v>
      </c>
      <c r="AC1316" s="1"/>
      <c r="AD1316" s="1" t="s">
        <v>62</v>
      </c>
      <c r="AE1316" s="1"/>
      <c r="AF1316" s="1">
        <v>-48.669724</v>
      </c>
      <c r="AG1316" s="1">
        <v>-26.918888</v>
      </c>
      <c r="AH1316" s="1" t="s">
        <v>5232</v>
      </c>
      <c r="AI1316" s="1"/>
      <c r="AJ1316" s="1" t="s">
        <v>264</v>
      </c>
      <c r="AK1316" s="1"/>
      <c r="AL1316" s="1"/>
      <c r="AM1316" s="1" t="s">
        <v>65</v>
      </c>
      <c r="AN1316" s="1"/>
      <c r="AO1316" s="1"/>
      <c r="AP1316" s="2">
        <v>43783.4770833333</v>
      </c>
      <c r="AQ1316" s="1"/>
      <c r="AR1316" s="1" t="s">
        <v>3247</v>
      </c>
      <c r="AS1316" s="1"/>
      <c r="AT1316" s="2">
        <v>44269.931099537</v>
      </c>
    </row>
    <row r="1317" ht="13.5" customHeight="1">
      <c r="A1317" s="1"/>
      <c r="B1317" s="1" t="s">
        <v>46</v>
      </c>
      <c r="C1317" s="1" t="s">
        <v>47</v>
      </c>
      <c r="D1317" s="1"/>
      <c r="E1317" s="1" t="s">
        <v>5586</v>
      </c>
      <c r="F1317" s="1"/>
      <c r="G1317" s="1"/>
      <c r="H1317" s="1" t="s">
        <v>93</v>
      </c>
      <c r="I1317" s="1">
        <v>60500.0</v>
      </c>
      <c r="J1317" s="1"/>
      <c r="K1317" s="1"/>
      <c r="L1317" s="1"/>
      <c r="M1317" s="1" t="s">
        <v>5587</v>
      </c>
      <c r="N1317" s="1" t="s">
        <v>142</v>
      </c>
      <c r="O1317" s="1" t="s">
        <v>143</v>
      </c>
      <c r="P1317" s="2">
        <v>43783.4692592593</v>
      </c>
      <c r="Q1317" s="1" t="s">
        <v>55</v>
      </c>
      <c r="R1317" s="1"/>
      <c r="S1317" s="1"/>
      <c r="T1317" s="1">
        <v>5007703.0</v>
      </c>
      <c r="U1317" s="1" t="s">
        <v>5574</v>
      </c>
      <c r="V1317" s="1" t="s">
        <v>529</v>
      </c>
      <c r="W1317" s="1" t="s">
        <v>59</v>
      </c>
      <c r="X1317" s="1"/>
      <c r="Y1317" s="1"/>
      <c r="Z1317" s="1" t="s">
        <v>147</v>
      </c>
      <c r="AA1317" s="1" t="s">
        <v>5575</v>
      </c>
      <c r="AB1317" s="1" t="str">
        <f>"***700451**"</f>
        <v>***700451**</v>
      </c>
      <c r="AC1317" s="1"/>
      <c r="AD1317" s="1" t="s">
        <v>116</v>
      </c>
      <c r="AE1317" s="1"/>
      <c r="AF1317" s="1">
        <v>-55.135834</v>
      </c>
      <c r="AG1317" s="1">
        <v>-23.869167</v>
      </c>
      <c r="AH1317" s="1" t="s">
        <v>5588</v>
      </c>
      <c r="AI1317" s="1"/>
      <c r="AJ1317" s="1" t="s">
        <v>533</v>
      </c>
      <c r="AK1317" s="1"/>
      <c r="AL1317" s="1"/>
      <c r="AM1317" s="1" t="s">
        <v>65</v>
      </c>
      <c r="AN1317" s="1" t="s">
        <v>534</v>
      </c>
      <c r="AO1317" s="1"/>
      <c r="AP1317" s="2">
        <v>43783.476412037</v>
      </c>
      <c r="AQ1317" s="1"/>
      <c r="AR1317" s="1" t="s">
        <v>5589</v>
      </c>
      <c r="AS1317" s="1" t="s">
        <v>5583</v>
      </c>
      <c r="AT1317" s="2">
        <v>44269.931099537</v>
      </c>
    </row>
    <row r="1318" ht="13.5" customHeight="1">
      <c r="A1318" s="1"/>
      <c r="B1318" s="1" t="s">
        <v>46</v>
      </c>
      <c r="C1318" s="1" t="s">
        <v>47</v>
      </c>
      <c r="D1318" s="1"/>
      <c r="E1318" s="1" t="s">
        <v>5590</v>
      </c>
      <c r="F1318" s="1"/>
      <c r="G1318" s="1"/>
      <c r="H1318" s="1" t="s">
        <v>93</v>
      </c>
      <c r="I1318" s="1">
        <v>457500.0</v>
      </c>
      <c r="J1318" s="1"/>
      <c r="K1318" s="1"/>
      <c r="L1318" s="1"/>
      <c r="M1318" s="1" t="s">
        <v>5591</v>
      </c>
      <c r="N1318" s="1" t="s">
        <v>142</v>
      </c>
      <c r="O1318" s="1" t="s">
        <v>143</v>
      </c>
      <c r="P1318" s="2">
        <v>43783.467662037</v>
      </c>
      <c r="Q1318" s="1" t="s">
        <v>373</v>
      </c>
      <c r="R1318" s="1"/>
      <c r="S1318" s="1"/>
      <c r="T1318" s="1">
        <v>1505486.0</v>
      </c>
      <c r="U1318" s="1" t="s">
        <v>3446</v>
      </c>
      <c r="V1318" s="1" t="s">
        <v>193</v>
      </c>
      <c r="W1318" s="1" t="s">
        <v>177</v>
      </c>
      <c r="X1318" s="1"/>
      <c r="Y1318" s="1"/>
      <c r="Z1318" s="1" t="s">
        <v>147</v>
      </c>
      <c r="AA1318" s="1" t="s">
        <v>5592</v>
      </c>
      <c r="AB1318" s="1" t="str">
        <f>"***940592**"</f>
        <v>***940592**</v>
      </c>
      <c r="AC1318" s="1">
        <v>0.0</v>
      </c>
      <c r="AD1318" s="1" t="s">
        <v>2103</v>
      </c>
      <c r="AE1318" s="1"/>
      <c r="AF1318" s="1">
        <v>-51.030556</v>
      </c>
      <c r="AG1318" s="1">
        <v>-3.715</v>
      </c>
      <c r="AH1318" s="1" t="s">
        <v>5593</v>
      </c>
      <c r="AI1318" s="1"/>
      <c r="AJ1318" s="1" t="s">
        <v>172</v>
      </c>
      <c r="AK1318" s="1"/>
      <c r="AL1318" s="1"/>
      <c r="AM1318" s="1" t="s">
        <v>65</v>
      </c>
      <c r="AN1318" s="1" t="s">
        <v>1395</v>
      </c>
      <c r="AO1318" s="1"/>
      <c r="AP1318" s="2">
        <v>43783.4956134259</v>
      </c>
      <c r="AQ1318" s="1"/>
      <c r="AR1318" s="1" t="s">
        <v>169</v>
      </c>
      <c r="AS1318" s="1" t="s">
        <v>5594</v>
      </c>
      <c r="AT1318" s="2">
        <v>44269.931099537</v>
      </c>
    </row>
    <row r="1319" ht="13.5" customHeight="1">
      <c r="A1319" s="1">
        <v>2036104.0</v>
      </c>
      <c r="B1319" s="1" t="s">
        <v>67</v>
      </c>
      <c r="C1319" s="1" t="s">
        <v>68</v>
      </c>
      <c r="D1319" s="1" t="s">
        <v>46</v>
      </c>
      <c r="E1319" s="1" t="s">
        <v>5595</v>
      </c>
      <c r="F1319" s="1"/>
      <c r="G1319" s="1" t="s">
        <v>70</v>
      </c>
      <c r="H1319" s="1" t="s">
        <v>50</v>
      </c>
      <c r="I1319" s="1">
        <v>13500.0</v>
      </c>
      <c r="J1319" s="1"/>
      <c r="K1319" s="1"/>
      <c r="L1319" s="1" t="s">
        <v>406</v>
      </c>
      <c r="M1319" s="1" t="s">
        <v>5596</v>
      </c>
      <c r="N1319" s="1" t="s">
        <v>95</v>
      </c>
      <c r="O1319" s="1" t="s">
        <v>96</v>
      </c>
      <c r="P1319" s="2">
        <v>43783.4583333333</v>
      </c>
      <c r="Q1319" s="1" t="s">
        <v>373</v>
      </c>
      <c r="R1319" s="3">
        <v>43783.0</v>
      </c>
      <c r="S1319" s="1"/>
      <c r="T1319" s="1">
        <v>3204351.0</v>
      </c>
      <c r="U1319" s="1" t="s">
        <v>5597</v>
      </c>
      <c r="V1319" s="1" t="s">
        <v>403</v>
      </c>
      <c r="W1319" s="1" t="s">
        <v>59</v>
      </c>
      <c r="X1319" s="1"/>
      <c r="Y1319" s="1" t="str">
        <f>"02009000855202038"</f>
        <v>02009000855202038</v>
      </c>
      <c r="Z1319" s="1" t="s">
        <v>98</v>
      </c>
      <c r="AA1319" s="1" t="s">
        <v>5598</v>
      </c>
      <c r="AB1319" s="1" t="str">
        <f>"***230627**"</f>
        <v>***230627**</v>
      </c>
      <c r="AC1319" s="1"/>
      <c r="AD1319" s="1"/>
      <c r="AE1319" s="1"/>
      <c r="AF1319" s="1">
        <v>-40.3325</v>
      </c>
      <c r="AG1319" s="1">
        <v>-19.264723</v>
      </c>
      <c r="AH1319" s="1" t="s">
        <v>5599</v>
      </c>
      <c r="AI1319" s="1"/>
      <c r="AJ1319" s="1" t="s">
        <v>406</v>
      </c>
      <c r="AK1319" s="1"/>
      <c r="AL1319" s="1" t="s">
        <v>79</v>
      </c>
      <c r="AM1319" s="1" t="s">
        <v>65</v>
      </c>
      <c r="AN1319" s="1" t="s">
        <v>5600</v>
      </c>
      <c r="AO1319" s="2">
        <v>43935.0</v>
      </c>
      <c r="AP1319" s="2">
        <v>43935.4587962963</v>
      </c>
      <c r="AQ1319" s="1" t="s">
        <v>80</v>
      </c>
      <c r="AR1319" s="1" t="s">
        <v>2941</v>
      </c>
      <c r="AS1319" s="1"/>
      <c r="AT1319" s="2">
        <v>44269.931099537</v>
      </c>
    </row>
    <row r="1320" ht="13.5" customHeight="1">
      <c r="A1320" s="1">
        <v>2038859.0</v>
      </c>
      <c r="B1320" s="1" t="s">
        <v>67</v>
      </c>
      <c r="C1320" s="1" t="s">
        <v>68</v>
      </c>
      <c r="D1320" s="1" t="s">
        <v>46</v>
      </c>
      <c r="E1320" s="1" t="s">
        <v>5601</v>
      </c>
      <c r="F1320" s="1"/>
      <c r="G1320" s="1" t="s">
        <v>70</v>
      </c>
      <c r="H1320" s="1" t="s">
        <v>93</v>
      </c>
      <c r="I1320" s="1">
        <v>160000.0</v>
      </c>
      <c r="J1320" s="1"/>
      <c r="K1320" s="1"/>
      <c r="L1320" s="1" t="s">
        <v>172</v>
      </c>
      <c r="M1320" s="1" t="s">
        <v>220</v>
      </c>
      <c r="N1320" s="1" t="s">
        <v>142</v>
      </c>
      <c r="O1320" s="1" t="s">
        <v>143</v>
      </c>
      <c r="P1320" s="2">
        <v>43783.4583333333</v>
      </c>
      <c r="Q1320" s="1" t="s">
        <v>373</v>
      </c>
      <c r="R1320" s="3">
        <v>43783.0</v>
      </c>
      <c r="S1320" s="1"/>
      <c r="T1320" s="1">
        <v>1100338.0</v>
      </c>
      <c r="U1320" s="1" t="s">
        <v>5017</v>
      </c>
      <c r="V1320" s="1" t="s">
        <v>448</v>
      </c>
      <c r="W1320" s="1" t="s">
        <v>177</v>
      </c>
      <c r="X1320" s="1"/>
      <c r="Y1320" s="1" t="str">
        <f>"02001017775202091"</f>
        <v>02001017775202091</v>
      </c>
      <c r="Z1320" s="1" t="s">
        <v>147</v>
      </c>
      <c r="AA1320" s="1" t="s">
        <v>5602</v>
      </c>
      <c r="AB1320" s="1" t="str">
        <f t="shared" ref="AB1320:AB1321" si="71">"***459462**"</f>
        <v>***459462**</v>
      </c>
      <c r="AC1320" s="1"/>
      <c r="AD1320" s="1"/>
      <c r="AE1320" s="1"/>
      <c r="AF1320" s="1">
        <v>-65.072502</v>
      </c>
      <c r="AG1320" s="1">
        <v>-10.10889</v>
      </c>
      <c r="AH1320" s="1" t="s">
        <v>5603</v>
      </c>
      <c r="AI1320" s="1"/>
      <c r="AJ1320" s="1" t="s">
        <v>172</v>
      </c>
      <c r="AK1320" s="1"/>
      <c r="AL1320" s="1" t="s">
        <v>79</v>
      </c>
      <c r="AM1320" s="1" t="s">
        <v>65</v>
      </c>
      <c r="AN1320" s="1" t="s">
        <v>1395</v>
      </c>
      <c r="AO1320" s="2">
        <v>44047.0</v>
      </c>
      <c r="AP1320" s="2">
        <v>44047.3623148148</v>
      </c>
      <c r="AQ1320" s="1" t="s">
        <v>80</v>
      </c>
      <c r="AR1320" s="1" t="s">
        <v>656</v>
      </c>
      <c r="AS1320" s="1"/>
      <c r="AT1320" s="2">
        <v>44269.931099537</v>
      </c>
    </row>
    <row r="1321" ht="13.5" customHeight="1">
      <c r="A1321" s="1">
        <v>2038860.0</v>
      </c>
      <c r="B1321" s="1" t="s">
        <v>67</v>
      </c>
      <c r="C1321" s="1" t="s">
        <v>68</v>
      </c>
      <c r="D1321" s="1" t="s">
        <v>46</v>
      </c>
      <c r="E1321" s="1" t="s">
        <v>5604</v>
      </c>
      <c r="F1321" s="1"/>
      <c r="G1321" s="1" t="s">
        <v>70</v>
      </c>
      <c r="H1321" s="1" t="s">
        <v>93</v>
      </c>
      <c r="I1321" s="1">
        <v>160000.0</v>
      </c>
      <c r="J1321" s="1"/>
      <c r="K1321" s="1"/>
      <c r="L1321" s="1" t="s">
        <v>172</v>
      </c>
      <c r="M1321" s="1" t="s">
        <v>5605</v>
      </c>
      <c r="N1321" s="1" t="s">
        <v>142</v>
      </c>
      <c r="O1321" s="1" t="s">
        <v>143</v>
      </c>
      <c r="P1321" s="2">
        <v>43783.4583333333</v>
      </c>
      <c r="Q1321" s="1" t="s">
        <v>373</v>
      </c>
      <c r="R1321" s="3">
        <v>43783.0</v>
      </c>
      <c r="S1321" s="1"/>
      <c r="T1321" s="1">
        <v>1100338.0</v>
      </c>
      <c r="U1321" s="1" t="s">
        <v>5017</v>
      </c>
      <c r="V1321" s="1" t="s">
        <v>448</v>
      </c>
      <c r="W1321" s="1" t="s">
        <v>177</v>
      </c>
      <c r="X1321" s="1"/>
      <c r="Y1321" s="1" t="str">
        <f>"02001017776202036"</f>
        <v>02001017776202036</v>
      </c>
      <c r="Z1321" s="1" t="s">
        <v>147</v>
      </c>
      <c r="AA1321" s="1" t="s">
        <v>5602</v>
      </c>
      <c r="AB1321" s="1" t="str">
        <f t="shared" si="71"/>
        <v>***459462**</v>
      </c>
      <c r="AC1321" s="1"/>
      <c r="AD1321" s="1"/>
      <c r="AE1321" s="1"/>
      <c r="AF1321" s="1">
        <v>-65.072502</v>
      </c>
      <c r="AG1321" s="1">
        <v>-10.10889</v>
      </c>
      <c r="AH1321" s="1" t="s">
        <v>5606</v>
      </c>
      <c r="AI1321" s="1"/>
      <c r="AJ1321" s="1" t="s">
        <v>172</v>
      </c>
      <c r="AK1321" s="1"/>
      <c r="AL1321" s="1" t="s">
        <v>79</v>
      </c>
      <c r="AM1321" s="1" t="s">
        <v>65</v>
      </c>
      <c r="AN1321" s="1" t="s">
        <v>1395</v>
      </c>
      <c r="AO1321" s="2">
        <v>44047.0</v>
      </c>
      <c r="AP1321" s="2">
        <v>44047.3626157407</v>
      </c>
      <c r="AQ1321" s="1" t="s">
        <v>80</v>
      </c>
      <c r="AR1321" s="1" t="s">
        <v>421</v>
      </c>
      <c r="AS1321" s="1" t="s">
        <v>5607</v>
      </c>
      <c r="AT1321" s="2">
        <v>44269.931099537</v>
      </c>
    </row>
    <row r="1322" ht="13.5" customHeight="1">
      <c r="A1322" s="1">
        <v>2042699.0</v>
      </c>
      <c r="B1322" s="1" t="s">
        <v>67</v>
      </c>
      <c r="C1322" s="1" t="s">
        <v>68</v>
      </c>
      <c r="D1322" s="1" t="s">
        <v>46</v>
      </c>
      <c r="E1322" s="1" t="s">
        <v>5608</v>
      </c>
      <c r="F1322" s="1"/>
      <c r="G1322" s="1" t="s">
        <v>70</v>
      </c>
      <c r="H1322" s="1" t="s">
        <v>50</v>
      </c>
      <c r="I1322" s="1">
        <v>500.0</v>
      </c>
      <c r="J1322" s="1"/>
      <c r="K1322" s="1"/>
      <c r="L1322" s="1" t="s">
        <v>1040</v>
      </c>
      <c r="M1322" s="1" t="s">
        <v>5542</v>
      </c>
      <c r="N1322" s="1" t="s">
        <v>72</v>
      </c>
      <c r="O1322" s="1" t="s">
        <v>213</v>
      </c>
      <c r="P1322" s="2">
        <v>43783.4583333333</v>
      </c>
      <c r="Q1322" s="1" t="s">
        <v>55</v>
      </c>
      <c r="R1322" s="1"/>
      <c r="S1322" s="1"/>
      <c r="T1322" s="1">
        <v>2615607.0</v>
      </c>
      <c r="U1322" s="1" t="s">
        <v>5422</v>
      </c>
      <c r="V1322" s="1" t="s">
        <v>1037</v>
      </c>
      <c r="W1322" s="1" t="s">
        <v>113</v>
      </c>
      <c r="X1322" s="1"/>
      <c r="Y1322" s="1" t="str">
        <f>"02019000678202071"</f>
        <v>02019000678202071</v>
      </c>
      <c r="Z1322" s="1" t="s">
        <v>215</v>
      </c>
      <c r="AA1322" s="1" t="s">
        <v>5609</v>
      </c>
      <c r="AB1322" s="1" t="str">
        <f>"23275932000142"</f>
        <v>23275932000142</v>
      </c>
      <c r="AC1322" s="1"/>
      <c r="AD1322" s="1"/>
      <c r="AE1322" s="1"/>
      <c r="AF1322" s="1">
        <v>-40.299442</v>
      </c>
      <c r="AG1322" s="1">
        <v>-7.733889</v>
      </c>
      <c r="AH1322" s="1" t="s">
        <v>5610</v>
      </c>
      <c r="AI1322" s="1"/>
      <c r="AJ1322" s="1" t="s">
        <v>1040</v>
      </c>
      <c r="AK1322" s="1"/>
      <c r="AL1322" s="1" t="s">
        <v>79</v>
      </c>
      <c r="AM1322" s="1" t="s">
        <v>65</v>
      </c>
      <c r="AN1322" s="1" t="s">
        <v>1279</v>
      </c>
      <c r="AO1322" s="2">
        <v>44215.0</v>
      </c>
      <c r="AP1322" s="2">
        <v>44215.7426041667</v>
      </c>
      <c r="AQ1322" s="1" t="s">
        <v>80</v>
      </c>
      <c r="AR1322" s="1" t="s">
        <v>909</v>
      </c>
      <c r="AS1322" s="1"/>
      <c r="AT1322" s="2">
        <v>44269.931099537</v>
      </c>
    </row>
    <row r="1323" ht="13.5" customHeight="1">
      <c r="A1323" s="1">
        <v>2042771.0</v>
      </c>
      <c r="B1323" s="1" t="s">
        <v>67</v>
      </c>
      <c r="C1323" s="1" t="s">
        <v>68</v>
      </c>
      <c r="D1323" s="1" t="s">
        <v>46</v>
      </c>
      <c r="E1323" s="1" t="s">
        <v>5611</v>
      </c>
      <c r="F1323" s="1"/>
      <c r="G1323" s="1" t="s">
        <v>70</v>
      </c>
      <c r="H1323" s="1" t="s">
        <v>93</v>
      </c>
      <c r="I1323" s="1">
        <v>11700.0</v>
      </c>
      <c r="J1323" s="1"/>
      <c r="K1323" s="1"/>
      <c r="L1323" s="1" t="s">
        <v>264</v>
      </c>
      <c r="M1323" s="1" t="s">
        <v>5612</v>
      </c>
      <c r="N1323" s="1" t="s">
        <v>53</v>
      </c>
      <c r="O1323" s="1" t="s">
        <v>54</v>
      </c>
      <c r="P1323" s="2">
        <v>43783.3965277778</v>
      </c>
      <c r="Q1323" s="1" t="s">
        <v>74</v>
      </c>
      <c r="R1323" s="3">
        <v>43794.0</v>
      </c>
      <c r="S1323" s="1"/>
      <c r="T1323" s="1">
        <v>4208203.0</v>
      </c>
      <c r="U1323" s="1" t="s">
        <v>735</v>
      </c>
      <c r="V1323" s="1" t="s">
        <v>267</v>
      </c>
      <c r="W1323" s="1" t="s">
        <v>288</v>
      </c>
      <c r="X1323" s="1"/>
      <c r="Y1323" s="1" t="str">
        <f>"02610001907201951"</f>
        <v>02610001907201951</v>
      </c>
      <c r="Z1323" s="1" t="s">
        <v>60</v>
      </c>
      <c r="AA1323" s="1" t="s">
        <v>5231</v>
      </c>
      <c r="AB1323" s="1" t="str">
        <f>"***378639**"</f>
        <v>***378639**</v>
      </c>
      <c r="AC1323" s="1"/>
      <c r="AD1323" s="1" t="s">
        <v>116</v>
      </c>
      <c r="AE1323" s="1"/>
      <c r="AF1323" s="1">
        <v>-48.669722</v>
      </c>
      <c r="AG1323" s="1">
        <v>-26.968889</v>
      </c>
      <c r="AH1323" s="1" t="s">
        <v>5232</v>
      </c>
      <c r="AI1323" s="1"/>
      <c r="AJ1323" s="1"/>
      <c r="AK1323" s="1"/>
      <c r="AL1323" s="1" t="s">
        <v>118</v>
      </c>
      <c r="AM1323" s="1"/>
      <c r="AN1323" s="1"/>
      <c r="AO1323" s="2">
        <v>44216.7697106481</v>
      </c>
      <c r="AP1323" s="2">
        <v>44216.7697106481</v>
      </c>
      <c r="AQ1323" s="1" t="s">
        <v>80</v>
      </c>
      <c r="AR1323" s="1" t="s">
        <v>5290</v>
      </c>
      <c r="AS1323" s="1"/>
      <c r="AT1323" s="2">
        <v>44269.931099537</v>
      </c>
    </row>
    <row r="1324" ht="13.5" customHeight="1">
      <c r="A1324" s="1">
        <v>2034790.0</v>
      </c>
      <c r="B1324" s="1" t="s">
        <v>67</v>
      </c>
      <c r="C1324" s="1" t="s">
        <v>68</v>
      </c>
      <c r="D1324" s="1" t="s">
        <v>46</v>
      </c>
      <c r="E1324" s="1" t="s">
        <v>5613</v>
      </c>
      <c r="F1324" s="1"/>
      <c r="G1324" s="1" t="s">
        <v>70</v>
      </c>
      <c r="H1324" s="1" t="s">
        <v>50</v>
      </c>
      <c r="I1324" s="1">
        <v>50000.0</v>
      </c>
      <c r="J1324" s="1"/>
      <c r="K1324" s="1"/>
      <c r="L1324" s="1" t="s">
        <v>106</v>
      </c>
      <c r="M1324" s="1" t="s">
        <v>5614</v>
      </c>
      <c r="N1324" s="1" t="s">
        <v>4634</v>
      </c>
      <c r="O1324" s="1" t="s">
        <v>4635</v>
      </c>
      <c r="P1324" s="2">
        <v>43783.3333333333</v>
      </c>
      <c r="Q1324" s="1" t="s">
        <v>74</v>
      </c>
      <c r="R1324" s="3">
        <v>43783.0</v>
      </c>
      <c r="S1324" s="1"/>
      <c r="T1324" s="1">
        <v>2313807.0</v>
      </c>
      <c r="U1324" s="1" t="s">
        <v>4657</v>
      </c>
      <c r="V1324" s="1" t="s">
        <v>112</v>
      </c>
      <c r="W1324" s="1" t="s">
        <v>59</v>
      </c>
      <c r="X1324" s="1"/>
      <c r="Y1324" s="1" t="str">
        <f>"02007000800202048"</f>
        <v>02007000800202048</v>
      </c>
      <c r="Z1324" s="1" t="s">
        <v>4636</v>
      </c>
      <c r="AA1324" s="1" t="s">
        <v>5615</v>
      </c>
      <c r="AB1324" s="1" t="str">
        <f>"***548203**"</f>
        <v>***548203**</v>
      </c>
      <c r="AC1324" s="1"/>
      <c r="AD1324" s="1"/>
      <c r="AE1324" s="1"/>
      <c r="AF1324" s="1">
        <v>-39.534164</v>
      </c>
      <c r="AG1324" s="1">
        <v>-3.616667</v>
      </c>
      <c r="AH1324" s="1" t="s">
        <v>5616</v>
      </c>
      <c r="AI1324" s="1"/>
      <c r="AJ1324" s="1" t="s">
        <v>106</v>
      </c>
      <c r="AK1324" s="1"/>
      <c r="AL1324" s="1" t="s">
        <v>79</v>
      </c>
      <c r="AM1324" s="1" t="s">
        <v>65</v>
      </c>
      <c r="AN1324" s="1" t="s">
        <v>4660</v>
      </c>
      <c r="AO1324" s="2">
        <v>43892.0</v>
      </c>
      <c r="AP1324" s="2">
        <v>43892.3963773148</v>
      </c>
      <c r="AQ1324" s="1" t="s">
        <v>80</v>
      </c>
      <c r="AR1324" s="1" t="s">
        <v>656</v>
      </c>
      <c r="AS1324" s="1" t="s">
        <v>5617</v>
      </c>
      <c r="AT1324" s="2">
        <v>44269.931099537</v>
      </c>
    </row>
    <row r="1325" ht="13.5" customHeight="1">
      <c r="A1325" s="1">
        <v>2039765.0</v>
      </c>
      <c r="B1325" s="1" t="s">
        <v>67</v>
      </c>
      <c r="C1325" s="1" t="s">
        <v>68</v>
      </c>
      <c r="D1325" s="1" t="s">
        <v>46</v>
      </c>
      <c r="E1325" s="1" t="s">
        <v>5618</v>
      </c>
      <c r="F1325" s="1"/>
      <c r="G1325" s="1" t="s">
        <v>70</v>
      </c>
      <c r="H1325" s="1" t="s">
        <v>93</v>
      </c>
      <c r="I1325" s="1">
        <v>33000.0</v>
      </c>
      <c r="J1325" s="1"/>
      <c r="K1325" s="1"/>
      <c r="L1325" s="1" t="s">
        <v>537</v>
      </c>
      <c r="M1325" s="1" t="s">
        <v>5619</v>
      </c>
      <c r="N1325" s="1" t="s">
        <v>142</v>
      </c>
      <c r="O1325" s="1" t="s">
        <v>143</v>
      </c>
      <c r="P1325" s="2">
        <v>43783.3333333333</v>
      </c>
      <c r="Q1325" s="1" t="s">
        <v>373</v>
      </c>
      <c r="R1325" s="3">
        <v>43783.0</v>
      </c>
      <c r="S1325" s="1"/>
      <c r="T1325" s="1">
        <v>2104057.0</v>
      </c>
      <c r="U1325" s="1" t="s">
        <v>4700</v>
      </c>
      <c r="V1325" s="1" t="s">
        <v>540</v>
      </c>
      <c r="W1325" s="1" t="s">
        <v>127</v>
      </c>
      <c r="X1325" s="1"/>
      <c r="Y1325" s="1" t="str">
        <f>"02012002179202088"</f>
        <v>02012002179202088</v>
      </c>
      <c r="Z1325" s="1" t="s">
        <v>147</v>
      </c>
      <c r="AA1325" s="1" t="s">
        <v>5620</v>
      </c>
      <c r="AB1325" s="1" t="str">
        <f>"***545083**"</f>
        <v>***545083**</v>
      </c>
      <c r="AC1325" s="1"/>
      <c r="AD1325" s="1"/>
      <c r="AE1325" s="1"/>
      <c r="AF1325" s="1">
        <v>-47.146667</v>
      </c>
      <c r="AG1325" s="1">
        <v>-6.793334</v>
      </c>
      <c r="AH1325" s="1" t="s">
        <v>5621</v>
      </c>
      <c r="AI1325" s="1"/>
      <c r="AJ1325" s="1" t="s">
        <v>537</v>
      </c>
      <c r="AK1325" s="1"/>
      <c r="AL1325" s="1" t="s">
        <v>79</v>
      </c>
      <c r="AM1325" s="1" t="s">
        <v>65</v>
      </c>
      <c r="AN1325" s="1" t="s">
        <v>4203</v>
      </c>
      <c r="AO1325" s="2">
        <v>44072.0</v>
      </c>
      <c r="AP1325" s="2">
        <v>44072.4403009259</v>
      </c>
      <c r="AQ1325" s="1" t="s">
        <v>80</v>
      </c>
      <c r="AR1325" s="1" t="s">
        <v>2065</v>
      </c>
      <c r="AS1325" s="1"/>
      <c r="AT1325" s="2">
        <v>44269.931099537</v>
      </c>
    </row>
    <row r="1326" ht="13.5" customHeight="1">
      <c r="A1326" s="1">
        <v>2036140.0</v>
      </c>
      <c r="B1326" s="1" t="s">
        <v>67</v>
      </c>
      <c r="C1326" s="1" t="s">
        <v>68</v>
      </c>
      <c r="D1326" s="1" t="s">
        <v>46</v>
      </c>
      <c r="E1326" s="1" t="s">
        <v>5622</v>
      </c>
      <c r="F1326" s="1"/>
      <c r="G1326" s="1" t="s">
        <v>70</v>
      </c>
      <c r="H1326" s="1" t="s">
        <v>50</v>
      </c>
      <c r="I1326" s="1">
        <v>10500.0</v>
      </c>
      <c r="J1326" s="1"/>
      <c r="K1326" s="1"/>
      <c r="L1326" s="1" t="s">
        <v>406</v>
      </c>
      <c r="M1326" s="1" t="s">
        <v>5623</v>
      </c>
      <c r="N1326" s="1" t="s">
        <v>95</v>
      </c>
      <c r="O1326" s="1" t="s">
        <v>96</v>
      </c>
      <c r="P1326" s="2">
        <v>43782.9166666667</v>
      </c>
      <c r="Q1326" s="1" t="s">
        <v>373</v>
      </c>
      <c r="R1326" s="3">
        <v>43782.0</v>
      </c>
      <c r="S1326" s="1"/>
      <c r="T1326" s="1">
        <v>3204005.0</v>
      </c>
      <c r="U1326" s="1" t="s">
        <v>945</v>
      </c>
      <c r="V1326" s="1" t="s">
        <v>403</v>
      </c>
      <c r="W1326" s="1" t="s">
        <v>59</v>
      </c>
      <c r="X1326" s="1"/>
      <c r="Y1326" s="1" t="str">
        <f>"02009000885202044"</f>
        <v>02009000885202044</v>
      </c>
      <c r="Z1326" s="1" t="s">
        <v>98</v>
      </c>
      <c r="AA1326" s="1" t="s">
        <v>5624</v>
      </c>
      <c r="AB1326" s="1" t="str">
        <f t="shared" ref="AB1326:AB1327" si="72">"***020947**"</f>
        <v>***020947**</v>
      </c>
      <c r="AC1326" s="1"/>
      <c r="AD1326" s="1"/>
      <c r="AE1326" s="1"/>
      <c r="AF1326" s="1">
        <v>-40.850277</v>
      </c>
      <c r="AG1326" s="1">
        <v>-19.221945</v>
      </c>
      <c r="AH1326" s="1" t="s">
        <v>945</v>
      </c>
      <c r="AI1326" s="1"/>
      <c r="AJ1326" s="1" t="s">
        <v>406</v>
      </c>
      <c r="AK1326" s="1"/>
      <c r="AL1326" s="1" t="s">
        <v>79</v>
      </c>
      <c r="AM1326" s="1" t="s">
        <v>65</v>
      </c>
      <c r="AN1326" s="1" t="s">
        <v>5600</v>
      </c>
      <c r="AO1326" s="2">
        <v>43937.0</v>
      </c>
      <c r="AP1326" s="2">
        <v>43937.7098148148</v>
      </c>
      <c r="AQ1326" s="1" t="s">
        <v>80</v>
      </c>
      <c r="AR1326" s="1" t="s">
        <v>4091</v>
      </c>
      <c r="AS1326" s="1"/>
      <c r="AT1326" s="2">
        <v>44269.931099537</v>
      </c>
    </row>
    <row r="1327" ht="13.5" customHeight="1">
      <c r="A1327" s="1"/>
      <c r="B1327" s="1" t="s">
        <v>46</v>
      </c>
      <c r="C1327" s="1" t="s">
        <v>657</v>
      </c>
      <c r="D1327" s="1" t="s">
        <v>67</v>
      </c>
      <c r="E1327" s="1" t="s">
        <v>5625</v>
      </c>
      <c r="F1327" s="1"/>
      <c r="G1327" s="1" t="s">
        <v>49</v>
      </c>
      <c r="H1327" s="1" t="s">
        <v>93</v>
      </c>
      <c r="I1327" s="1">
        <v>10500.0</v>
      </c>
      <c r="J1327" s="1"/>
      <c r="K1327" s="1"/>
      <c r="L1327" s="1"/>
      <c r="M1327" s="1" t="s">
        <v>5626</v>
      </c>
      <c r="N1327" s="1" t="s">
        <v>95</v>
      </c>
      <c r="O1327" s="1" t="s">
        <v>96</v>
      </c>
      <c r="P1327" s="2">
        <v>43782.8922800926</v>
      </c>
      <c r="Q1327" s="1" t="s">
        <v>373</v>
      </c>
      <c r="R1327" s="1"/>
      <c r="S1327" s="1"/>
      <c r="T1327" s="1">
        <v>3204005.0</v>
      </c>
      <c r="U1327" s="1" t="s">
        <v>945</v>
      </c>
      <c r="V1327" s="1" t="s">
        <v>403</v>
      </c>
      <c r="W1327" s="1" t="s">
        <v>59</v>
      </c>
      <c r="X1327" s="1"/>
      <c r="Y1327" s="1"/>
      <c r="Z1327" s="1" t="s">
        <v>98</v>
      </c>
      <c r="AA1327" s="1" t="s">
        <v>5624</v>
      </c>
      <c r="AB1327" s="1" t="str">
        <f t="shared" si="72"/>
        <v>***020947**</v>
      </c>
      <c r="AC1327" s="1"/>
      <c r="AD1327" s="1" t="s">
        <v>149</v>
      </c>
      <c r="AE1327" s="1"/>
      <c r="AF1327" s="1">
        <v>-40.850277</v>
      </c>
      <c r="AG1327" s="1">
        <v>-19.221945</v>
      </c>
      <c r="AH1327" s="1" t="s">
        <v>5627</v>
      </c>
      <c r="AI1327" s="1"/>
      <c r="AJ1327" s="1" t="s">
        <v>406</v>
      </c>
      <c r="AK1327" s="1"/>
      <c r="AL1327" s="1"/>
      <c r="AM1327" s="1" t="s">
        <v>65</v>
      </c>
      <c r="AN1327" s="1" t="s">
        <v>5600</v>
      </c>
      <c r="AO1327" s="1"/>
      <c r="AP1327" s="2">
        <v>43929.5545601852</v>
      </c>
      <c r="AQ1327" s="1"/>
      <c r="AR1327" s="1" t="s">
        <v>5628</v>
      </c>
      <c r="AS1327" s="1"/>
      <c r="AT1327" s="2">
        <v>44269.931099537</v>
      </c>
    </row>
    <row r="1328" ht="13.5" customHeight="1">
      <c r="A1328" s="1"/>
      <c r="B1328" s="1" t="s">
        <v>46</v>
      </c>
      <c r="C1328" s="1" t="s">
        <v>47</v>
      </c>
      <c r="D1328" s="1"/>
      <c r="E1328" s="1" t="s">
        <v>5629</v>
      </c>
      <c r="F1328" s="1"/>
      <c r="G1328" s="1"/>
      <c r="H1328" s="1" t="s">
        <v>93</v>
      </c>
      <c r="I1328" s="1">
        <v>70000.0</v>
      </c>
      <c r="J1328" s="1"/>
      <c r="K1328" s="1"/>
      <c r="L1328" s="1"/>
      <c r="M1328" s="1" t="s">
        <v>5630</v>
      </c>
      <c r="N1328" s="1" t="s">
        <v>142</v>
      </c>
      <c r="O1328" s="1" t="s">
        <v>143</v>
      </c>
      <c r="P1328" s="2">
        <v>43782.8611226852</v>
      </c>
      <c r="Q1328" s="1" t="s">
        <v>373</v>
      </c>
      <c r="R1328" s="1"/>
      <c r="S1328" s="1"/>
      <c r="T1328" s="1">
        <v>1100338.0</v>
      </c>
      <c r="U1328" s="1" t="s">
        <v>5017</v>
      </c>
      <c r="V1328" s="1" t="s">
        <v>448</v>
      </c>
      <c r="W1328" s="1" t="s">
        <v>177</v>
      </c>
      <c r="X1328" s="1"/>
      <c r="Y1328" s="1"/>
      <c r="Z1328" s="1" t="s">
        <v>147</v>
      </c>
      <c r="AA1328" s="1" t="s">
        <v>5631</v>
      </c>
      <c r="AB1328" s="1" t="str">
        <f>"***855191**"</f>
        <v>***855191**</v>
      </c>
      <c r="AC1328" s="1"/>
      <c r="AD1328" s="1" t="s">
        <v>116</v>
      </c>
      <c r="AE1328" s="1"/>
      <c r="AF1328" s="1">
        <v>-64.994164</v>
      </c>
      <c r="AG1328" s="1">
        <v>-10.053889</v>
      </c>
      <c r="AH1328" s="1" t="s">
        <v>5632</v>
      </c>
      <c r="AI1328" s="1"/>
      <c r="AJ1328" s="1" t="s">
        <v>172</v>
      </c>
      <c r="AK1328" s="1"/>
      <c r="AL1328" s="1"/>
      <c r="AM1328" s="1" t="s">
        <v>65</v>
      </c>
      <c r="AN1328" s="1" t="s">
        <v>1395</v>
      </c>
      <c r="AO1328" s="1"/>
      <c r="AP1328" s="2">
        <v>43782.8721990741</v>
      </c>
      <c r="AQ1328" s="1"/>
      <c r="AR1328" s="1" t="s">
        <v>644</v>
      </c>
      <c r="AS1328" s="1" t="s">
        <v>5531</v>
      </c>
      <c r="AT1328" s="2">
        <v>44269.931099537</v>
      </c>
    </row>
    <row r="1329" ht="13.5" customHeight="1">
      <c r="A1329" s="1"/>
      <c r="B1329" s="1" t="s">
        <v>46</v>
      </c>
      <c r="C1329" s="1" t="s">
        <v>47</v>
      </c>
      <c r="D1329" s="1"/>
      <c r="E1329" s="1" t="s">
        <v>5633</v>
      </c>
      <c r="F1329" s="1"/>
      <c r="G1329" s="1" t="s">
        <v>49</v>
      </c>
      <c r="H1329" s="1" t="s">
        <v>50</v>
      </c>
      <c r="I1329" s="1">
        <v>210500.0</v>
      </c>
      <c r="J1329" s="1"/>
      <c r="K1329" s="1" t="s">
        <v>140</v>
      </c>
      <c r="L1329" s="1"/>
      <c r="M1329" s="1" t="s">
        <v>5634</v>
      </c>
      <c r="N1329" s="1" t="s">
        <v>123</v>
      </c>
      <c r="O1329" s="1" t="s">
        <v>73</v>
      </c>
      <c r="P1329" s="2">
        <v>43782.7940509259</v>
      </c>
      <c r="Q1329" s="1" t="s">
        <v>74</v>
      </c>
      <c r="R1329" s="3">
        <v>43782.0</v>
      </c>
      <c r="S1329" s="1"/>
      <c r="T1329" s="1">
        <v>5105150.0</v>
      </c>
      <c r="U1329" s="1" t="s">
        <v>5635</v>
      </c>
      <c r="V1329" s="1" t="s">
        <v>164</v>
      </c>
      <c r="W1329" s="1" t="s">
        <v>177</v>
      </c>
      <c r="X1329" s="1"/>
      <c r="Y1329" s="1"/>
      <c r="Z1329" s="1" t="s">
        <v>76</v>
      </c>
      <c r="AA1329" s="1" t="s">
        <v>5636</v>
      </c>
      <c r="AB1329" s="1" t="str">
        <f>"26629425000158"</f>
        <v>26629425000158</v>
      </c>
      <c r="AC1329" s="1"/>
      <c r="AD1329" s="1" t="s">
        <v>62</v>
      </c>
      <c r="AE1329" s="1"/>
      <c r="AF1329" s="1">
        <v>-58.824722</v>
      </c>
      <c r="AG1329" s="1">
        <v>-11.440834</v>
      </c>
      <c r="AH1329" s="1" t="s">
        <v>5637</v>
      </c>
      <c r="AI1329" s="1"/>
      <c r="AJ1329" s="1" t="s">
        <v>167</v>
      </c>
      <c r="AK1329" s="1"/>
      <c r="AL1329" s="1"/>
      <c r="AM1329" s="1" t="s">
        <v>65</v>
      </c>
      <c r="AN1329" s="1" t="s">
        <v>337</v>
      </c>
      <c r="AO1329" s="1"/>
      <c r="AP1329" s="2">
        <v>44022.6391203704</v>
      </c>
      <c r="AQ1329" s="1"/>
      <c r="AR1329" s="1" t="s">
        <v>396</v>
      </c>
      <c r="AS1329" s="1"/>
      <c r="AT1329" s="2">
        <v>44269.931099537</v>
      </c>
    </row>
    <row r="1330" ht="13.5" customHeight="1">
      <c r="A1330" s="1"/>
      <c r="B1330" s="1" t="s">
        <v>46</v>
      </c>
      <c r="C1330" s="1" t="s">
        <v>47</v>
      </c>
      <c r="D1330" s="1"/>
      <c r="E1330" s="1" t="s">
        <v>5638</v>
      </c>
      <c r="F1330" s="1"/>
      <c r="G1330" s="1"/>
      <c r="H1330" s="1" t="s">
        <v>93</v>
      </c>
      <c r="I1330" s="1">
        <v>1145000.0</v>
      </c>
      <c r="J1330" s="1"/>
      <c r="K1330" s="1"/>
      <c r="L1330" s="1"/>
      <c r="M1330" s="1" t="s">
        <v>5639</v>
      </c>
      <c r="N1330" s="1" t="s">
        <v>142</v>
      </c>
      <c r="O1330" s="1" t="s">
        <v>143</v>
      </c>
      <c r="P1330" s="2">
        <v>43782.7413888889</v>
      </c>
      <c r="Q1330" s="1" t="s">
        <v>373</v>
      </c>
      <c r="R1330" s="1"/>
      <c r="S1330" s="1"/>
      <c r="T1330" s="1">
        <v>5103254.0</v>
      </c>
      <c r="U1330" s="1" t="s">
        <v>5275</v>
      </c>
      <c r="V1330" s="1" t="s">
        <v>164</v>
      </c>
      <c r="W1330" s="1" t="s">
        <v>177</v>
      </c>
      <c r="X1330" s="1"/>
      <c r="Y1330" s="1"/>
      <c r="Z1330" s="1" t="s">
        <v>147</v>
      </c>
      <c r="AA1330" s="1" t="s">
        <v>5640</v>
      </c>
      <c r="AB1330" s="1" t="str">
        <f>"***349111**"</f>
        <v>***349111**</v>
      </c>
      <c r="AC1330" s="1"/>
      <c r="AD1330" s="1" t="s">
        <v>116</v>
      </c>
      <c r="AE1330" s="1"/>
      <c r="AF1330" s="1">
        <v>-59.442223</v>
      </c>
      <c r="AG1330" s="1">
        <v>-9.2275</v>
      </c>
      <c r="AH1330" s="1" t="s">
        <v>5641</v>
      </c>
      <c r="AI1330" s="1"/>
      <c r="AJ1330" s="1" t="s">
        <v>172</v>
      </c>
      <c r="AK1330" s="1"/>
      <c r="AL1330" s="1"/>
      <c r="AM1330" s="1" t="s">
        <v>65</v>
      </c>
      <c r="AN1330" s="1" t="s">
        <v>1395</v>
      </c>
      <c r="AO1330" s="1"/>
      <c r="AP1330" s="2">
        <v>43783.4358333333</v>
      </c>
      <c r="AQ1330" s="1"/>
      <c r="AR1330" s="1" t="s">
        <v>169</v>
      </c>
      <c r="AS1330" s="1" t="s">
        <v>5642</v>
      </c>
      <c r="AT1330" s="2">
        <v>44269.931099537</v>
      </c>
    </row>
    <row r="1331" ht="13.5" customHeight="1">
      <c r="A1331" s="1"/>
      <c r="B1331" s="1" t="s">
        <v>46</v>
      </c>
      <c r="C1331" s="1" t="s">
        <v>47</v>
      </c>
      <c r="D1331" s="1"/>
      <c r="E1331" s="1" t="s">
        <v>5643</v>
      </c>
      <c r="F1331" s="1"/>
      <c r="G1331" s="1"/>
      <c r="H1331" s="1" t="s">
        <v>50</v>
      </c>
      <c r="I1331" s="1">
        <v>2400.0</v>
      </c>
      <c r="J1331" s="1"/>
      <c r="K1331" s="1" t="s">
        <v>51</v>
      </c>
      <c r="L1331" s="1"/>
      <c r="M1331" s="1" t="s">
        <v>5644</v>
      </c>
      <c r="N1331" s="1" t="s">
        <v>108</v>
      </c>
      <c r="O1331" s="1" t="s">
        <v>109</v>
      </c>
      <c r="P1331" s="2">
        <v>43782.7178703704</v>
      </c>
      <c r="Q1331" s="1" t="s">
        <v>74</v>
      </c>
      <c r="R1331" s="3">
        <v>43794.0</v>
      </c>
      <c r="S1331" s="1"/>
      <c r="T1331" s="1">
        <v>5001102.0</v>
      </c>
      <c r="U1331" s="1" t="s">
        <v>5645</v>
      </c>
      <c r="V1331" s="1" t="s">
        <v>529</v>
      </c>
      <c r="W1331" s="1" t="s">
        <v>530</v>
      </c>
      <c r="X1331" s="1"/>
      <c r="Y1331" s="1"/>
      <c r="Z1331" s="1" t="s">
        <v>226</v>
      </c>
      <c r="AA1331" s="1" t="s">
        <v>5646</v>
      </c>
      <c r="AB1331" s="1" t="str">
        <f>"02755185000170"</f>
        <v>02755185000170</v>
      </c>
      <c r="AC1331" s="1"/>
      <c r="AD1331" s="1" t="s">
        <v>62</v>
      </c>
      <c r="AE1331" s="1"/>
      <c r="AF1331" s="1">
        <v>-57.660557</v>
      </c>
      <c r="AG1331" s="1">
        <v>-18.999722</v>
      </c>
      <c r="AH1331" s="1" t="s">
        <v>5647</v>
      </c>
      <c r="AI1331" s="1"/>
      <c r="AJ1331" s="1" t="s">
        <v>533</v>
      </c>
      <c r="AK1331" s="1"/>
      <c r="AL1331" s="1"/>
      <c r="AM1331" s="1" t="s">
        <v>65</v>
      </c>
      <c r="AN1331" s="1"/>
      <c r="AO1331" s="1"/>
      <c r="AP1331" s="2">
        <v>43782.7263310185</v>
      </c>
      <c r="AQ1331" s="1"/>
      <c r="AR1331" s="1" t="s">
        <v>899</v>
      </c>
      <c r="AS1331" s="1"/>
      <c r="AT1331" s="2">
        <v>44269.931099537</v>
      </c>
    </row>
    <row r="1332" ht="13.5" customHeight="1">
      <c r="A1332" s="1">
        <v>2035088.0</v>
      </c>
      <c r="B1332" s="1" t="s">
        <v>67</v>
      </c>
      <c r="C1332" s="1" t="s">
        <v>68</v>
      </c>
      <c r="D1332" s="1" t="s">
        <v>46</v>
      </c>
      <c r="E1332" s="1" t="s">
        <v>5648</v>
      </c>
      <c r="F1332" s="1"/>
      <c r="G1332" s="1" t="s">
        <v>70</v>
      </c>
      <c r="H1332" s="1" t="s">
        <v>93</v>
      </c>
      <c r="I1332" s="1">
        <v>1500.0</v>
      </c>
      <c r="J1332" s="1"/>
      <c r="K1332" s="1"/>
      <c r="L1332" s="1" t="s">
        <v>101</v>
      </c>
      <c r="M1332" s="1" t="s">
        <v>5649</v>
      </c>
      <c r="N1332" s="1" t="s">
        <v>95</v>
      </c>
      <c r="O1332" s="1" t="s">
        <v>96</v>
      </c>
      <c r="P1332" s="2">
        <v>43782.7083333333</v>
      </c>
      <c r="Q1332" s="1" t="s">
        <v>74</v>
      </c>
      <c r="R1332" s="3">
        <v>43789.0</v>
      </c>
      <c r="S1332" s="1"/>
      <c r="T1332" s="1">
        <v>3515152.0</v>
      </c>
      <c r="U1332" s="1" t="s">
        <v>5650</v>
      </c>
      <c r="V1332" s="1" t="s">
        <v>58</v>
      </c>
      <c r="W1332" s="1" t="s">
        <v>59</v>
      </c>
      <c r="X1332" s="1"/>
      <c r="Y1332" s="1" t="str">
        <f>"02285000155202084"</f>
        <v>02285000155202084</v>
      </c>
      <c r="Z1332" s="1" t="s">
        <v>98</v>
      </c>
      <c r="AA1332" s="1" t="s">
        <v>5651</v>
      </c>
      <c r="AB1332" s="1" t="str">
        <f>"***429318**"</f>
        <v>***429318**</v>
      </c>
      <c r="AC1332" s="1"/>
      <c r="AD1332" s="1"/>
      <c r="AE1332" s="1"/>
      <c r="AF1332" s="1">
        <v>-47.144169</v>
      </c>
      <c r="AG1332" s="1">
        <v>-23.007778</v>
      </c>
      <c r="AH1332" s="1" t="s">
        <v>5652</v>
      </c>
      <c r="AI1332" s="1"/>
      <c r="AJ1332" s="1" t="s">
        <v>101</v>
      </c>
      <c r="AK1332" s="1"/>
      <c r="AL1332" s="1" t="s">
        <v>79</v>
      </c>
      <c r="AM1332" s="1" t="s">
        <v>65</v>
      </c>
      <c r="AN1332" s="1" t="s">
        <v>102</v>
      </c>
      <c r="AO1332" s="2">
        <v>43894.0</v>
      </c>
      <c r="AP1332" s="2">
        <v>43894.6610069444</v>
      </c>
      <c r="AQ1332" s="1" t="s">
        <v>80</v>
      </c>
      <c r="AR1332" s="1" t="s">
        <v>953</v>
      </c>
      <c r="AS1332" s="1" t="s">
        <v>5653</v>
      </c>
      <c r="AT1332" s="2">
        <v>44269.931099537</v>
      </c>
    </row>
    <row r="1333" ht="13.5" customHeight="1">
      <c r="A1333" s="1">
        <v>2042778.0</v>
      </c>
      <c r="B1333" s="1" t="s">
        <v>67</v>
      </c>
      <c r="C1333" s="1" t="s">
        <v>68</v>
      </c>
      <c r="D1333" s="1" t="s">
        <v>46</v>
      </c>
      <c r="E1333" s="1" t="s">
        <v>5654</v>
      </c>
      <c r="F1333" s="1"/>
      <c r="G1333" s="1" t="s">
        <v>70</v>
      </c>
      <c r="H1333" s="1" t="s">
        <v>93</v>
      </c>
      <c r="I1333" s="1">
        <v>11700.0</v>
      </c>
      <c r="J1333" s="1"/>
      <c r="K1333" s="1"/>
      <c r="L1333" s="1" t="s">
        <v>264</v>
      </c>
      <c r="M1333" s="1" t="s">
        <v>5655</v>
      </c>
      <c r="N1333" s="1" t="s">
        <v>53</v>
      </c>
      <c r="O1333" s="1" t="s">
        <v>54</v>
      </c>
      <c r="P1333" s="2">
        <v>43782.70625</v>
      </c>
      <c r="Q1333" s="1" t="s">
        <v>74</v>
      </c>
      <c r="R1333" s="3">
        <v>43794.0</v>
      </c>
      <c r="S1333" s="1"/>
      <c r="T1333" s="1">
        <v>4208203.0</v>
      </c>
      <c r="U1333" s="1" t="s">
        <v>735</v>
      </c>
      <c r="V1333" s="1" t="s">
        <v>267</v>
      </c>
      <c r="W1333" s="1" t="s">
        <v>288</v>
      </c>
      <c r="X1333" s="1"/>
      <c r="Y1333" s="1" t="str">
        <f>"02610001922201908"</f>
        <v>02610001922201908</v>
      </c>
      <c r="Z1333" s="1" t="s">
        <v>60</v>
      </c>
      <c r="AA1333" s="1" t="s">
        <v>5231</v>
      </c>
      <c r="AB1333" s="1" t="str">
        <f t="shared" ref="AB1333:AB1336" si="73">"***378639**"</f>
        <v>***378639**</v>
      </c>
      <c r="AC1333" s="1"/>
      <c r="AD1333" s="1" t="s">
        <v>116</v>
      </c>
      <c r="AE1333" s="1"/>
      <c r="AF1333" s="1">
        <v>-48.671389</v>
      </c>
      <c r="AG1333" s="1">
        <v>-26.919444</v>
      </c>
      <c r="AH1333" s="1" t="s">
        <v>5232</v>
      </c>
      <c r="AI1333" s="1"/>
      <c r="AJ1333" s="1"/>
      <c r="AK1333" s="1"/>
      <c r="AL1333" s="1" t="s">
        <v>118</v>
      </c>
      <c r="AM1333" s="1"/>
      <c r="AN1333" s="1"/>
      <c r="AO1333" s="2">
        <v>44216.7897916667</v>
      </c>
      <c r="AP1333" s="2">
        <v>44216.7897916667</v>
      </c>
      <c r="AQ1333" s="1" t="s">
        <v>80</v>
      </c>
      <c r="AR1333" s="1" t="s">
        <v>5290</v>
      </c>
      <c r="AS1333" s="1"/>
      <c r="AT1333" s="2">
        <v>44269.931099537</v>
      </c>
    </row>
    <row r="1334" ht="13.5" customHeight="1">
      <c r="A1334" s="1">
        <v>2042776.0</v>
      </c>
      <c r="B1334" s="1" t="s">
        <v>67</v>
      </c>
      <c r="C1334" s="1" t="s">
        <v>68</v>
      </c>
      <c r="D1334" s="1" t="s">
        <v>46</v>
      </c>
      <c r="E1334" s="1" t="s">
        <v>5656</v>
      </c>
      <c r="F1334" s="1"/>
      <c r="G1334" s="1" t="s">
        <v>70</v>
      </c>
      <c r="H1334" s="1" t="s">
        <v>93</v>
      </c>
      <c r="I1334" s="1">
        <v>11700.0</v>
      </c>
      <c r="J1334" s="1"/>
      <c r="K1334" s="1"/>
      <c r="L1334" s="1" t="s">
        <v>264</v>
      </c>
      <c r="M1334" s="1" t="s">
        <v>5657</v>
      </c>
      <c r="N1334" s="1" t="s">
        <v>53</v>
      </c>
      <c r="O1334" s="1" t="s">
        <v>54</v>
      </c>
      <c r="P1334" s="2">
        <v>43782.7027777778</v>
      </c>
      <c r="Q1334" s="1" t="s">
        <v>74</v>
      </c>
      <c r="R1334" s="3">
        <v>43794.0</v>
      </c>
      <c r="S1334" s="1"/>
      <c r="T1334" s="1">
        <v>4208203.0</v>
      </c>
      <c r="U1334" s="1" t="s">
        <v>735</v>
      </c>
      <c r="V1334" s="1" t="s">
        <v>267</v>
      </c>
      <c r="W1334" s="1" t="s">
        <v>288</v>
      </c>
      <c r="X1334" s="1"/>
      <c r="Y1334" s="1" t="str">
        <f>"02610001921201955"</f>
        <v>02610001921201955</v>
      </c>
      <c r="Z1334" s="1" t="s">
        <v>60</v>
      </c>
      <c r="AA1334" s="1" t="s">
        <v>5231</v>
      </c>
      <c r="AB1334" s="1" t="str">
        <f t="shared" si="73"/>
        <v>***378639**</v>
      </c>
      <c r="AC1334" s="1"/>
      <c r="AD1334" s="1" t="s">
        <v>116</v>
      </c>
      <c r="AE1334" s="1"/>
      <c r="AF1334" s="1">
        <v>-48.670278</v>
      </c>
      <c r="AG1334" s="1">
        <v>-26.918611</v>
      </c>
      <c r="AH1334" s="1" t="s">
        <v>5232</v>
      </c>
      <c r="AI1334" s="1"/>
      <c r="AJ1334" s="1"/>
      <c r="AK1334" s="1"/>
      <c r="AL1334" s="1" t="s">
        <v>118</v>
      </c>
      <c r="AM1334" s="1"/>
      <c r="AN1334" s="1"/>
      <c r="AO1334" s="2">
        <v>44216.7832986111</v>
      </c>
      <c r="AP1334" s="2">
        <v>44216.7832986111</v>
      </c>
      <c r="AQ1334" s="1" t="s">
        <v>80</v>
      </c>
      <c r="AR1334" s="1" t="s">
        <v>5290</v>
      </c>
      <c r="AS1334" s="1"/>
      <c r="AT1334" s="2">
        <v>44269.931099537</v>
      </c>
    </row>
    <row r="1335" ht="13.5" customHeight="1">
      <c r="A1335" s="1">
        <v>2042760.0</v>
      </c>
      <c r="B1335" s="1" t="s">
        <v>67</v>
      </c>
      <c r="C1335" s="1" t="s">
        <v>68</v>
      </c>
      <c r="D1335" s="1" t="s">
        <v>46</v>
      </c>
      <c r="E1335" s="1" t="s">
        <v>5658</v>
      </c>
      <c r="F1335" s="1"/>
      <c r="G1335" s="1" t="s">
        <v>70</v>
      </c>
      <c r="H1335" s="1" t="s">
        <v>93</v>
      </c>
      <c r="I1335" s="1">
        <v>11700.0</v>
      </c>
      <c r="J1335" s="1"/>
      <c r="K1335" s="1"/>
      <c r="L1335" s="1" t="s">
        <v>264</v>
      </c>
      <c r="M1335" s="1" t="s">
        <v>5659</v>
      </c>
      <c r="N1335" s="1" t="s">
        <v>53</v>
      </c>
      <c r="O1335" s="1" t="s">
        <v>54</v>
      </c>
      <c r="P1335" s="2">
        <v>43782.6951388889</v>
      </c>
      <c r="Q1335" s="1" t="s">
        <v>74</v>
      </c>
      <c r="R1335" s="3">
        <v>43794.0</v>
      </c>
      <c r="S1335" s="1"/>
      <c r="T1335" s="1">
        <v>4208203.0</v>
      </c>
      <c r="U1335" s="1" t="s">
        <v>735</v>
      </c>
      <c r="V1335" s="1" t="s">
        <v>267</v>
      </c>
      <c r="W1335" s="1" t="s">
        <v>288</v>
      </c>
      <c r="X1335" s="1"/>
      <c r="Y1335" s="1" t="str">
        <f>"02610001920201919"</f>
        <v>02610001920201919</v>
      </c>
      <c r="Z1335" s="1" t="s">
        <v>60</v>
      </c>
      <c r="AA1335" s="1" t="s">
        <v>5231</v>
      </c>
      <c r="AB1335" s="1" t="str">
        <f t="shared" si="73"/>
        <v>***378639**</v>
      </c>
      <c r="AC1335" s="1"/>
      <c r="AD1335" s="1" t="s">
        <v>116</v>
      </c>
      <c r="AE1335" s="1"/>
      <c r="AF1335" s="1">
        <v>-48.670278</v>
      </c>
      <c r="AG1335" s="1">
        <v>-26.918611</v>
      </c>
      <c r="AH1335" s="1" t="s">
        <v>5301</v>
      </c>
      <c r="AI1335" s="1"/>
      <c r="AJ1335" s="1"/>
      <c r="AK1335" s="1"/>
      <c r="AL1335" s="1" t="s">
        <v>118</v>
      </c>
      <c r="AM1335" s="1"/>
      <c r="AN1335" s="1"/>
      <c r="AO1335" s="2">
        <v>44216.7324189815</v>
      </c>
      <c r="AP1335" s="2">
        <v>44216.7324189815</v>
      </c>
      <c r="AQ1335" s="1" t="s">
        <v>80</v>
      </c>
      <c r="AR1335" s="1" t="s">
        <v>5660</v>
      </c>
      <c r="AS1335" s="1"/>
      <c r="AT1335" s="2">
        <v>44269.931099537</v>
      </c>
    </row>
    <row r="1336" ht="13.5" customHeight="1">
      <c r="A1336" s="1">
        <v>2042787.0</v>
      </c>
      <c r="B1336" s="1" t="s">
        <v>67</v>
      </c>
      <c r="C1336" s="1" t="s">
        <v>68</v>
      </c>
      <c r="D1336" s="1" t="s">
        <v>46</v>
      </c>
      <c r="E1336" s="1" t="s">
        <v>5661</v>
      </c>
      <c r="F1336" s="1"/>
      <c r="G1336" s="1" t="s">
        <v>70</v>
      </c>
      <c r="H1336" s="1" t="s">
        <v>93</v>
      </c>
      <c r="I1336" s="1">
        <v>11700.0</v>
      </c>
      <c r="J1336" s="1"/>
      <c r="K1336" s="1"/>
      <c r="L1336" s="1" t="s">
        <v>264</v>
      </c>
      <c r="M1336" s="1" t="s">
        <v>5662</v>
      </c>
      <c r="N1336" s="1" t="s">
        <v>53</v>
      </c>
      <c r="O1336" s="1" t="s">
        <v>54</v>
      </c>
      <c r="P1336" s="2">
        <v>43782.6847222222</v>
      </c>
      <c r="Q1336" s="1" t="s">
        <v>74</v>
      </c>
      <c r="R1336" s="3">
        <v>43794.0</v>
      </c>
      <c r="S1336" s="1"/>
      <c r="T1336" s="1">
        <v>4208203.0</v>
      </c>
      <c r="U1336" s="1" t="s">
        <v>735</v>
      </c>
      <c r="V1336" s="1" t="s">
        <v>267</v>
      </c>
      <c r="W1336" s="1" t="s">
        <v>288</v>
      </c>
      <c r="X1336" s="1"/>
      <c r="Y1336" s="1" t="str">
        <f>"02610001919201986"</f>
        <v>02610001919201986</v>
      </c>
      <c r="Z1336" s="1" t="s">
        <v>60</v>
      </c>
      <c r="AA1336" s="1" t="s">
        <v>5231</v>
      </c>
      <c r="AB1336" s="1" t="str">
        <f t="shared" si="73"/>
        <v>***378639**</v>
      </c>
      <c r="AC1336" s="1"/>
      <c r="AD1336" s="1" t="s">
        <v>116</v>
      </c>
      <c r="AE1336" s="1"/>
      <c r="AF1336" s="1">
        <v>-48.670278</v>
      </c>
      <c r="AG1336" s="1">
        <v>-26.918611</v>
      </c>
      <c r="AH1336" s="1" t="s">
        <v>5232</v>
      </c>
      <c r="AI1336" s="1"/>
      <c r="AJ1336" s="1"/>
      <c r="AK1336" s="1"/>
      <c r="AL1336" s="1" t="s">
        <v>118</v>
      </c>
      <c r="AM1336" s="1"/>
      <c r="AN1336" s="1"/>
      <c r="AO1336" s="2">
        <v>44216.8136226852</v>
      </c>
      <c r="AP1336" s="2">
        <v>44216.8136226852</v>
      </c>
      <c r="AQ1336" s="1" t="s">
        <v>80</v>
      </c>
      <c r="AR1336" s="1" t="s">
        <v>5290</v>
      </c>
      <c r="AS1336" s="1"/>
      <c r="AT1336" s="2">
        <v>44269.931099537</v>
      </c>
    </row>
    <row r="1337" ht="13.5" customHeight="1">
      <c r="A1337" s="1"/>
      <c r="B1337" s="1" t="s">
        <v>46</v>
      </c>
      <c r="C1337" s="1" t="s">
        <v>47</v>
      </c>
      <c r="D1337" s="1"/>
      <c r="E1337" s="1" t="s">
        <v>5663</v>
      </c>
      <c r="F1337" s="1"/>
      <c r="G1337" s="1"/>
      <c r="H1337" s="1" t="s">
        <v>93</v>
      </c>
      <c r="I1337" s="1">
        <v>12500.0</v>
      </c>
      <c r="J1337" s="1"/>
      <c r="K1337" s="1" t="s">
        <v>51</v>
      </c>
      <c r="L1337" s="1"/>
      <c r="M1337" s="1" t="s">
        <v>5664</v>
      </c>
      <c r="N1337" s="1" t="s">
        <v>977</v>
      </c>
      <c r="O1337" s="1" t="s">
        <v>978</v>
      </c>
      <c r="P1337" s="2">
        <v>43782.6794097222</v>
      </c>
      <c r="Q1337" s="1" t="s">
        <v>74</v>
      </c>
      <c r="R1337" s="3">
        <v>43795.0</v>
      </c>
      <c r="S1337" s="1"/>
      <c r="T1337" s="1">
        <v>3509502.0</v>
      </c>
      <c r="U1337" s="1" t="s">
        <v>97</v>
      </c>
      <c r="V1337" s="1" t="s">
        <v>58</v>
      </c>
      <c r="W1337" s="1" t="s">
        <v>59</v>
      </c>
      <c r="X1337" s="1"/>
      <c r="Y1337" s="1"/>
      <c r="Z1337" s="1" t="s">
        <v>980</v>
      </c>
      <c r="AA1337" s="1" t="s">
        <v>3542</v>
      </c>
      <c r="AB1337" s="1" t="str">
        <f>"42087254002000"</f>
        <v>42087254002000</v>
      </c>
      <c r="AC1337" s="1"/>
      <c r="AD1337" s="1" t="s">
        <v>149</v>
      </c>
      <c r="AE1337" s="1"/>
      <c r="AF1337" s="1">
        <v>-47.144169</v>
      </c>
      <c r="AG1337" s="1">
        <v>-23.007778</v>
      </c>
      <c r="AH1337" s="1" t="s">
        <v>5665</v>
      </c>
      <c r="AI1337" s="1"/>
      <c r="AJ1337" s="1" t="s">
        <v>101</v>
      </c>
      <c r="AK1337" s="1"/>
      <c r="AL1337" s="1"/>
      <c r="AM1337" s="1" t="s">
        <v>65</v>
      </c>
      <c r="AN1337" s="1" t="s">
        <v>102</v>
      </c>
      <c r="AO1337" s="1"/>
      <c r="AP1337" s="2">
        <v>43782.6852199074</v>
      </c>
      <c r="AQ1337" s="1"/>
      <c r="AR1337" s="1" t="s">
        <v>3544</v>
      </c>
      <c r="AS1337" s="1"/>
      <c r="AT1337" s="2">
        <v>44269.931099537</v>
      </c>
    </row>
    <row r="1338" ht="13.5" customHeight="1">
      <c r="A1338" s="1">
        <v>2042784.0</v>
      </c>
      <c r="B1338" s="1" t="s">
        <v>67</v>
      </c>
      <c r="C1338" s="1" t="s">
        <v>68</v>
      </c>
      <c r="D1338" s="1" t="s">
        <v>46</v>
      </c>
      <c r="E1338" s="1" t="s">
        <v>5666</v>
      </c>
      <c r="F1338" s="1"/>
      <c r="G1338" s="1" t="s">
        <v>70</v>
      </c>
      <c r="H1338" s="1" t="s">
        <v>93</v>
      </c>
      <c r="I1338" s="1">
        <v>11700.0</v>
      </c>
      <c r="J1338" s="1"/>
      <c r="K1338" s="1"/>
      <c r="L1338" s="1" t="s">
        <v>264</v>
      </c>
      <c r="M1338" s="1" t="s">
        <v>5667</v>
      </c>
      <c r="N1338" s="1" t="s">
        <v>53</v>
      </c>
      <c r="O1338" s="1" t="s">
        <v>54</v>
      </c>
      <c r="P1338" s="2">
        <v>43782.6784722222</v>
      </c>
      <c r="Q1338" s="1" t="s">
        <v>74</v>
      </c>
      <c r="R1338" s="3">
        <v>43794.0</v>
      </c>
      <c r="S1338" s="1"/>
      <c r="T1338" s="1">
        <v>4208203.0</v>
      </c>
      <c r="U1338" s="1" t="s">
        <v>735</v>
      </c>
      <c r="V1338" s="1" t="s">
        <v>267</v>
      </c>
      <c r="W1338" s="1" t="s">
        <v>288</v>
      </c>
      <c r="X1338" s="1"/>
      <c r="Y1338" s="1" t="str">
        <f>"02610001918201931"</f>
        <v>02610001918201931</v>
      </c>
      <c r="Z1338" s="1" t="s">
        <v>60</v>
      </c>
      <c r="AA1338" s="1" t="s">
        <v>5231</v>
      </c>
      <c r="AB1338" s="1" t="str">
        <f t="shared" ref="AB1338:AB1340" si="74">"***378639**"</f>
        <v>***378639**</v>
      </c>
      <c r="AC1338" s="1"/>
      <c r="AD1338" s="1" t="s">
        <v>116</v>
      </c>
      <c r="AE1338" s="1"/>
      <c r="AF1338" s="1">
        <v>-48.670278</v>
      </c>
      <c r="AG1338" s="1">
        <v>-26.918611</v>
      </c>
      <c r="AH1338" s="1" t="s">
        <v>5232</v>
      </c>
      <c r="AI1338" s="1"/>
      <c r="AJ1338" s="1"/>
      <c r="AK1338" s="1"/>
      <c r="AL1338" s="1" t="s">
        <v>118</v>
      </c>
      <c r="AM1338" s="1"/>
      <c r="AN1338" s="1"/>
      <c r="AO1338" s="2">
        <v>44216.8078703704</v>
      </c>
      <c r="AP1338" s="2">
        <v>44216.8078703704</v>
      </c>
      <c r="AQ1338" s="1" t="s">
        <v>80</v>
      </c>
      <c r="AR1338" s="1" t="s">
        <v>5290</v>
      </c>
      <c r="AS1338" s="1"/>
      <c r="AT1338" s="2">
        <v>44269.931099537</v>
      </c>
    </row>
    <row r="1339" ht="13.5" customHeight="1">
      <c r="A1339" s="1">
        <v>2042783.0</v>
      </c>
      <c r="B1339" s="1" t="s">
        <v>67</v>
      </c>
      <c r="C1339" s="1" t="s">
        <v>68</v>
      </c>
      <c r="D1339" s="1" t="s">
        <v>46</v>
      </c>
      <c r="E1339" s="1" t="s">
        <v>5668</v>
      </c>
      <c r="F1339" s="1"/>
      <c r="G1339" s="1" t="s">
        <v>70</v>
      </c>
      <c r="H1339" s="1" t="s">
        <v>93</v>
      </c>
      <c r="I1339" s="1">
        <v>11700.0</v>
      </c>
      <c r="J1339" s="1"/>
      <c r="K1339" s="1"/>
      <c r="L1339" s="1" t="s">
        <v>264</v>
      </c>
      <c r="M1339" s="1" t="s">
        <v>5669</v>
      </c>
      <c r="N1339" s="1" t="s">
        <v>53</v>
      </c>
      <c r="O1339" s="1" t="s">
        <v>54</v>
      </c>
      <c r="P1339" s="2">
        <v>43782.6736111111</v>
      </c>
      <c r="Q1339" s="1" t="s">
        <v>5670</v>
      </c>
      <c r="R1339" s="3">
        <v>43794.0</v>
      </c>
      <c r="S1339" s="1"/>
      <c r="T1339" s="1">
        <v>4208203.0</v>
      </c>
      <c r="U1339" s="1" t="s">
        <v>735</v>
      </c>
      <c r="V1339" s="1" t="s">
        <v>267</v>
      </c>
      <c r="W1339" s="1" t="s">
        <v>288</v>
      </c>
      <c r="X1339" s="1"/>
      <c r="Y1339" s="1" t="str">
        <f>"02610001917201997"</f>
        <v>02610001917201997</v>
      </c>
      <c r="Z1339" s="1" t="s">
        <v>60</v>
      </c>
      <c r="AA1339" s="1" t="s">
        <v>5231</v>
      </c>
      <c r="AB1339" s="1" t="str">
        <f t="shared" si="74"/>
        <v>***378639**</v>
      </c>
      <c r="AC1339" s="1"/>
      <c r="AD1339" s="1" t="s">
        <v>116</v>
      </c>
      <c r="AE1339" s="1"/>
      <c r="AF1339" s="1">
        <v>-48.670278</v>
      </c>
      <c r="AG1339" s="1">
        <v>-26.918611</v>
      </c>
      <c r="AH1339" s="1" t="s">
        <v>5232</v>
      </c>
      <c r="AI1339" s="1"/>
      <c r="AJ1339" s="1"/>
      <c r="AK1339" s="1"/>
      <c r="AL1339" s="1" t="s">
        <v>118</v>
      </c>
      <c r="AM1339" s="1"/>
      <c r="AN1339" s="1"/>
      <c r="AO1339" s="2">
        <v>44216.8035416667</v>
      </c>
      <c r="AP1339" s="2">
        <v>44216.8036574074</v>
      </c>
      <c r="AQ1339" s="1" t="s">
        <v>80</v>
      </c>
      <c r="AR1339" s="1" t="s">
        <v>5290</v>
      </c>
      <c r="AS1339" s="1"/>
      <c r="AT1339" s="2">
        <v>44269.931099537</v>
      </c>
    </row>
    <row r="1340" ht="13.5" customHeight="1">
      <c r="A1340" s="1">
        <v>2042782.0</v>
      </c>
      <c r="B1340" s="1" t="s">
        <v>67</v>
      </c>
      <c r="C1340" s="1" t="s">
        <v>68</v>
      </c>
      <c r="D1340" s="1" t="s">
        <v>46</v>
      </c>
      <c r="E1340" s="1" t="s">
        <v>5671</v>
      </c>
      <c r="F1340" s="1"/>
      <c r="G1340" s="1" t="s">
        <v>70</v>
      </c>
      <c r="H1340" s="1" t="s">
        <v>93</v>
      </c>
      <c r="I1340" s="1">
        <v>11700.0</v>
      </c>
      <c r="J1340" s="1"/>
      <c r="K1340" s="1"/>
      <c r="L1340" s="1" t="s">
        <v>264</v>
      </c>
      <c r="M1340" s="1" t="s">
        <v>5672</v>
      </c>
      <c r="N1340" s="1" t="s">
        <v>53</v>
      </c>
      <c r="O1340" s="1" t="s">
        <v>54</v>
      </c>
      <c r="P1340" s="2">
        <v>43782.6680555556</v>
      </c>
      <c r="Q1340" s="1" t="s">
        <v>74</v>
      </c>
      <c r="R1340" s="3">
        <v>43794.0</v>
      </c>
      <c r="S1340" s="1"/>
      <c r="T1340" s="1">
        <v>4208203.0</v>
      </c>
      <c r="U1340" s="1" t="s">
        <v>735</v>
      </c>
      <c r="V1340" s="1" t="s">
        <v>267</v>
      </c>
      <c r="W1340" s="1" t="s">
        <v>288</v>
      </c>
      <c r="X1340" s="1"/>
      <c r="Y1340" s="1" t="str">
        <f>"02610001916201942"</f>
        <v>02610001916201942</v>
      </c>
      <c r="Z1340" s="1" t="s">
        <v>60</v>
      </c>
      <c r="AA1340" s="1" t="s">
        <v>5231</v>
      </c>
      <c r="AB1340" s="1" t="str">
        <f t="shared" si="74"/>
        <v>***378639**</v>
      </c>
      <c r="AC1340" s="1"/>
      <c r="AD1340" s="1" t="s">
        <v>116</v>
      </c>
      <c r="AE1340" s="1"/>
      <c r="AF1340" s="1">
        <v>-48.670278</v>
      </c>
      <c r="AG1340" s="1">
        <v>-26.918611</v>
      </c>
      <c r="AH1340" s="1" t="s">
        <v>5232</v>
      </c>
      <c r="AI1340" s="1"/>
      <c r="AJ1340" s="1"/>
      <c r="AK1340" s="1"/>
      <c r="AL1340" s="1" t="s">
        <v>118</v>
      </c>
      <c r="AM1340" s="1"/>
      <c r="AN1340" s="1"/>
      <c r="AO1340" s="2">
        <v>44216.7994791667</v>
      </c>
      <c r="AP1340" s="2">
        <v>44216.7994791667</v>
      </c>
      <c r="AQ1340" s="1" t="s">
        <v>80</v>
      </c>
      <c r="AR1340" s="1" t="s">
        <v>5290</v>
      </c>
      <c r="AS1340" s="1"/>
      <c r="AT1340" s="2">
        <v>44269.931099537</v>
      </c>
    </row>
    <row r="1341" ht="13.5" customHeight="1">
      <c r="A1341" s="1">
        <v>2042698.0</v>
      </c>
      <c r="B1341" s="1" t="s">
        <v>67</v>
      </c>
      <c r="C1341" s="1" t="s">
        <v>68</v>
      </c>
      <c r="D1341" s="1" t="s">
        <v>46</v>
      </c>
      <c r="E1341" s="1" t="s">
        <v>5673</v>
      </c>
      <c r="F1341" s="1"/>
      <c r="G1341" s="1" t="s">
        <v>70</v>
      </c>
      <c r="H1341" s="1" t="s">
        <v>50</v>
      </c>
      <c r="I1341" s="1">
        <v>500.0</v>
      </c>
      <c r="J1341" s="1"/>
      <c r="K1341" s="1"/>
      <c r="L1341" s="1" t="s">
        <v>1040</v>
      </c>
      <c r="M1341" s="1" t="s">
        <v>1275</v>
      </c>
      <c r="N1341" s="1" t="s">
        <v>72</v>
      </c>
      <c r="O1341" s="1" t="s">
        <v>213</v>
      </c>
      <c r="P1341" s="2">
        <v>43782.6666666667</v>
      </c>
      <c r="Q1341" s="1" t="s">
        <v>55</v>
      </c>
      <c r="R1341" s="1"/>
      <c r="S1341" s="1"/>
      <c r="T1341" s="1">
        <v>2615607.0</v>
      </c>
      <c r="U1341" s="1" t="s">
        <v>5422</v>
      </c>
      <c r="V1341" s="1" t="s">
        <v>1037</v>
      </c>
      <c r="W1341" s="1" t="s">
        <v>113</v>
      </c>
      <c r="X1341" s="1"/>
      <c r="Y1341" s="1" t="str">
        <f>"02019000254202014"</f>
        <v>02019000254202014</v>
      </c>
      <c r="Z1341" s="1" t="s">
        <v>215</v>
      </c>
      <c r="AA1341" s="1" t="s">
        <v>5674</v>
      </c>
      <c r="AB1341" s="1" t="str">
        <f>"27995439000158"</f>
        <v>27995439000158</v>
      </c>
      <c r="AC1341" s="1"/>
      <c r="AD1341" s="1"/>
      <c r="AE1341" s="1"/>
      <c r="AF1341" s="1">
        <v>-40.264721</v>
      </c>
      <c r="AG1341" s="1">
        <v>-7.748889</v>
      </c>
      <c r="AH1341" s="1" t="s">
        <v>5675</v>
      </c>
      <c r="AI1341" s="1"/>
      <c r="AJ1341" s="1" t="s">
        <v>1040</v>
      </c>
      <c r="AK1341" s="1"/>
      <c r="AL1341" s="1" t="s">
        <v>79</v>
      </c>
      <c r="AM1341" s="1" t="s">
        <v>65</v>
      </c>
      <c r="AN1341" s="1" t="s">
        <v>1279</v>
      </c>
      <c r="AO1341" s="2">
        <v>44215.0</v>
      </c>
      <c r="AP1341" s="2">
        <v>44215.7424421296</v>
      </c>
      <c r="AQ1341" s="1" t="s">
        <v>80</v>
      </c>
      <c r="AR1341" s="1" t="s">
        <v>909</v>
      </c>
      <c r="AS1341" s="1"/>
      <c r="AT1341" s="2">
        <v>44269.931099537</v>
      </c>
    </row>
    <row r="1342" ht="13.5" customHeight="1">
      <c r="A1342" s="1"/>
      <c r="B1342" s="1" t="s">
        <v>46</v>
      </c>
      <c r="C1342" s="1" t="s">
        <v>47</v>
      </c>
      <c r="D1342" s="1"/>
      <c r="E1342" s="1" t="s">
        <v>5676</v>
      </c>
      <c r="F1342" s="1"/>
      <c r="G1342" s="1" t="s">
        <v>49</v>
      </c>
      <c r="H1342" s="1" t="s">
        <v>93</v>
      </c>
      <c r="I1342" s="1">
        <v>10000.0</v>
      </c>
      <c r="J1342" s="1"/>
      <c r="K1342" s="1"/>
      <c r="L1342" s="1"/>
      <c r="M1342" s="1" t="s">
        <v>5677</v>
      </c>
      <c r="N1342" s="1" t="s">
        <v>95</v>
      </c>
      <c r="O1342" s="1" t="s">
        <v>96</v>
      </c>
      <c r="P1342" s="2">
        <v>43782.6548611111</v>
      </c>
      <c r="Q1342" s="1" t="s">
        <v>373</v>
      </c>
      <c r="R1342" s="1"/>
      <c r="S1342" s="1"/>
      <c r="T1342" s="1">
        <v>3550308.0</v>
      </c>
      <c r="U1342" s="1" t="s">
        <v>607</v>
      </c>
      <c r="V1342" s="1" t="s">
        <v>58</v>
      </c>
      <c r="W1342" s="1" t="s">
        <v>59</v>
      </c>
      <c r="X1342" s="1"/>
      <c r="Y1342" s="1"/>
      <c r="Z1342" s="1" t="s">
        <v>98</v>
      </c>
      <c r="AA1342" s="1" t="s">
        <v>4284</v>
      </c>
      <c r="AB1342" s="1" t="str">
        <f>"***331138**"</f>
        <v>***331138**</v>
      </c>
      <c r="AC1342" s="1"/>
      <c r="AD1342" s="1" t="s">
        <v>62</v>
      </c>
      <c r="AE1342" s="1"/>
      <c r="AF1342" s="1">
        <v>-46.700558</v>
      </c>
      <c r="AG1342" s="1">
        <v>-23.762501</v>
      </c>
      <c r="AH1342" s="1" t="s">
        <v>4285</v>
      </c>
      <c r="AI1342" s="1"/>
      <c r="AJ1342" s="1" t="s">
        <v>172</v>
      </c>
      <c r="AK1342" s="1"/>
      <c r="AL1342" s="1"/>
      <c r="AM1342" s="1" t="s">
        <v>65</v>
      </c>
      <c r="AN1342" s="1" t="s">
        <v>4286</v>
      </c>
      <c r="AO1342" s="1"/>
      <c r="AP1342" s="2">
        <v>43782.6910763889</v>
      </c>
      <c r="AQ1342" s="1"/>
      <c r="AR1342" s="1" t="s">
        <v>5678</v>
      </c>
      <c r="AS1342" s="1"/>
      <c r="AT1342" s="2">
        <v>44269.931099537</v>
      </c>
    </row>
    <row r="1343" ht="13.5" customHeight="1">
      <c r="A1343" s="1"/>
      <c r="B1343" s="1" t="s">
        <v>46</v>
      </c>
      <c r="C1343" s="1" t="s">
        <v>47</v>
      </c>
      <c r="D1343" s="1"/>
      <c r="E1343" s="1" t="s">
        <v>5679</v>
      </c>
      <c r="F1343" s="1"/>
      <c r="G1343" s="1" t="s">
        <v>49</v>
      </c>
      <c r="H1343" s="1" t="s">
        <v>93</v>
      </c>
      <c r="I1343" s="1">
        <v>8000.0</v>
      </c>
      <c r="J1343" s="1"/>
      <c r="K1343" s="1"/>
      <c r="L1343" s="1"/>
      <c r="M1343" s="1" t="s">
        <v>5680</v>
      </c>
      <c r="N1343" s="1" t="s">
        <v>95</v>
      </c>
      <c r="O1343" s="1" t="s">
        <v>96</v>
      </c>
      <c r="P1343" s="2">
        <v>43782.65</v>
      </c>
      <c r="Q1343" s="1" t="s">
        <v>373</v>
      </c>
      <c r="R1343" s="1"/>
      <c r="S1343" s="1"/>
      <c r="T1343" s="1">
        <v>3203908.0</v>
      </c>
      <c r="U1343" s="1" t="s">
        <v>922</v>
      </c>
      <c r="V1343" s="1" t="s">
        <v>403</v>
      </c>
      <c r="W1343" s="1" t="s">
        <v>59</v>
      </c>
      <c r="X1343" s="1"/>
      <c r="Y1343" s="1"/>
      <c r="Z1343" s="1" t="s">
        <v>98</v>
      </c>
      <c r="AA1343" s="1" t="s">
        <v>5681</v>
      </c>
      <c r="AB1343" s="1" t="str">
        <f>"***142066**"</f>
        <v>***142066**</v>
      </c>
      <c r="AC1343" s="1"/>
      <c r="AD1343" s="1" t="s">
        <v>62</v>
      </c>
      <c r="AE1343" s="1"/>
      <c r="AF1343" s="1">
        <v>-40.396389</v>
      </c>
      <c r="AG1343" s="1">
        <v>-18.713612</v>
      </c>
      <c r="AH1343" s="1" t="s">
        <v>5682</v>
      </c>
      <c r="AI1343" s="1"/>
      <c r="AJ1343" s="1" t="s">
        <v>406</v>
      </c>
      <c r="AK1343" s="1"/>
      <c r="AL1343" s="1"/>
      <c r="AM1343" s="1" t="s">
        <v>65</v>
      </c>
      <c r="AN1343" s="1" t="s">
        <v>5600</v>
      </c>
      <c r="AO1343" s="1"/>
      <c r="AP1343" s="2">
        <v>43987.3787037037</v>
      </c>
      <c r="AQ1343" s="1"/>
      <c r="AR1343" s="1" t="s">
        <v>5683</v>
      </c>
      <c r="AS1343" s="1" t="s">
        <v>5684</v>
      </c>
      <c r="AT1343" s="2">
        <v>44269.931099537</v>
      </c>
    </row>
    <row r="1344" ht="13.5" customHeight="1">
      <c r="A1344" s="1"/>
      <c r="B1344" s="1" t="s">
        <v>46</v>
      </c>
      <c r="C1344" s="1" t="s">
        <v>47</v>
      </c>
      <c r="D1344" s="1"/>
      <c r="E1344" s="1" t="s">
        <v>5685</v>
      </c>
      <c r="F1344" s="1"/>
      <c r="G1344" s="1" t="s">
        <v>49</v>
      </c>
      <c r="H1344" s="1" t="s">
        <v>93</v>
      </c>
      <c r="I1344" s="1">
        <v>500.0</v>
      </c>
      <c r="J1344" s="1"/>
      <c r="K1344" s="1"/>
      <c r="L1344" s="1"/>
      <c r="M1344" s="1" t="s">
        <v>5686</v>
      </c>
      <c r="N1344" s="1" t="s">
        <v>95</v>
      </c>
      <c r="O1344" s="1" t="s">
        <v>96</v>
      </c>
      <c r="P1344" s="2">
        <v>43782.6289467593</v>
      </c>
      <c r="Q1344" s="1" t="s">
        <v>373</v>
      </c>
      <c r="R1344" s="1"/>
      <c r="S1344" s="1"/>
      <c r="T1344" s="1">
        <v>1503606.0</v>
      </c>
      <c r="U1344" s="1" t="s">
        <v>5687</v>
      </c>
      <c r="V1344" s="1" t="s">
        <v>193</v>
      </c>
      <c r="W1344" s="1" t="s">
        <v>177</v>
      </c>
      <c r="X1344" s="1"/>
      <c r="Y1344" s="1" t="str">
        <f>"02048000527202075"</f>
        <v>02048000527202075</v>
      </c>
      <c r="Z1344" s="1" t="s">
        <v>98</v>
      </c>
      <c r="AA1344" s="1" t="s">
        <v>5688</v>
      </c>
      <c r="AB1344" s="1" t="str">
        <f>"***568922**"</f>
        <v>***568922**</v>
      </c>
      <c r="AC1344" s="1"/>
      <c r="AD1344" s="1" t="s">
        <v>62</v>
      </c>
      <c r="AE1344" s="1"/>
      <c r="AF1344" s="1">
        <v>-55.640835</v>
      </c>
      <c r="AG1344" s="1">
        <v>-4.0675</v>
      </c>
      <c r="AH1344" s="1" t="s">
        <v>5689</v>
      </c>
      <c r="AI1344" s="1"/>
      <c r="AJ1344" s="1" t="s">
        <v>765</v>
      </c>
      <c r="AK1344" s="1"/>
      <c r="AL1344" s="1"/>
      <c r="AM1344" s="1" t="s">
        <v>65</v>
      </c>
      <c r="AN1344" s="1" t="s">
        <v>5690</v>
      </c>
      <c r="AO1344" s="1"/>
      <c r="AP1344" s="2">
        <v>43808.5006712963</v>
      </c>
      <c r="AQ1344" s="1"/>
      <c r="AR1344" s="1" t="s">
        <v>1730</v>
      </c>
      <c r="AS1344" s="1"/>
      <c r="AT1344" s="2">
        <v>44269.931099537</v>
      </c>
    </row>
    <row r="1345" ht="13.5" customHeight="1">
      <c r="A1345" s="1"/>
      <c r="B1345" s="1" t="s">
        <v>46</v>
      </c>
      <c r="C1345" s="1" t="s">
        <v>47</v>
      </c>
      <c r="D1345" s="1"/>
      <c r="E1345" s="1" t="s">
        <v>5691</v>
      </c>
      <c r="F1345" s="1"/>
      <c r="G1345" s="1" t="s">
        <v>49</v>
      </c>
      <c r="H1345" s="1" t="s">
        <v>93</v>
      </c>
      <c r="I1345" s="1">
        <v>500.0</v>
      </c>
      <c r="J1345" s="1"/>
      <c r="K1345" s="1"/>
      <c r="L1345" s="1"/>
      <c r="M1345" s="1"/>
      <c r="N1345" s="1" t="s">
        <v>95</v>
      </c>
      <c r="O1345" s="1" t="s">
        <v>96</v>
      </c>
      <c r="P1345" s="2">
        <v>43782.6265162037</v>
      </c>
      <c r="Q1345" s="1" t="s">
        <v>373</v>
      </c>
      <c r="R1345" s="1"/>
      <c r="S1345" s="1"/>
      <c r="T1345" s="1">
        <v>1501006.0</v>
      </c>
      <c r="U1345" s="1" t="s">
        <v>5692</v>
      </c>
      <c r="V1345" s="1" t="s">
        <v>193</v>
      </c>
      <c r="W1345" s="1" t="s">
        <v>177</v>
      </c>
      <c r="X1345" s="1"/>
      <c r="Y1345" s="1" t="str">
        <f>"02048000526202021"</f>
        <v>02048000526202021</v>
      </c>
      <c r="Z1345" s="1" t="s">
        <v>98</v>
      </c>
      <c r="AA1345" s="1" t="s">
        <v>5693</v>
      </c>
      <c r="AB1345" s="1" t="str">
        <f>"***070842**"</f>
        <v>***070842**</v>
      </c>
      <c r="AC1345" s="1"/>
      <c r="AD1345" s="1" t="s">
        <v>62</v>
      </c>
      <c r="AE1345" s="1"/>
      <c r="AF1345" s="1">
        <v>-55.640835</v>
      </c>
      <c r="AG1345" s="1">
        <v>-44.052498</v>
      </c>
      <c r="AH1345" s="1" t="s">
        <v>5694</v>
      </c>
      <c r="AI1345" s="1"/>
      <c r="AJ1345" s="1" t="s">
        <v>765</v>
      </c>
      <c r="AK1345" s="1"/>
      <c r="AL1345" s="1"/>
      <c r="AM1345" s="1" t="s">
        <v>65</v>
      </c>
      <c r="AN1345" s="1" t="s">
        <v>5690</v>
      </c>
      <c r="AO1345" s="1"/>
      <c r="AP1345" s="2">
        <v>43782.6718865741</v>
      </c>
      <c r="AQ1345" s="1"/>
      <c r="AR1345" s="1" t="s">
        <v>103</v>
      </c>
      <c r="AS1345" s="1"/>
      <c r="AT1345" s="2">
        <v>44269.931099537</v>
      </c>
    </row>
    <row r="1346" ht="13.5" customHeight="1">
      <c r="A1346" s="1">
        <v>2035888.0</v>
      </c>
      <c r="B1346" s="1" t="s">
        <v>67</v>
      </c>
      <c r="C1346" s="1" t="s">
        <v>68</v>
      </c>
      <c r="D1346" s="1" t="s">
        <v>46</v>
      </c>
      <c r="E1346" s="1" t="s">
        <v>5695</v>
      </c>
      <c r="F1346" s="1"/>
      <c r="G1346" s="1" t="s">
        <v>70</v>
      </c>
      <c r="H1346" s="1" t="s">
        <v>93</v>
      </c>
      <c r="I1346" s="1">
        <v>309830.0</v>
      </c>
      <c r="J1346" s="1"/>
      <c r="K1346" s="1"/>
      <c r="L1346" s="1" t="s">
        <v>172</v>
      </c>
      <c r="M1346" s="1" t="s">
        <v>5696</v>
      </c>
      <c r="N1346" s="1" t="s">
        <v>142</v>
      </c>
      <c r="O1346" s="1" t="s">
        <v>143</v>
      </c>
      <c r="P1346" s="2">
        <v>43782.5833333333</v>
      </c>
      <c r="Q1346" s="1" t="s">
        <v>74</v>
      </c>
      <c r="R1346" s="3">
        <v>43866.0</v>
      </c>
      <c r="S1346" s="1"/>
      <c r="T1346" s="1">
        <v>5100805.0</v>
      </c>
      <c r="U1346" s="1" t="s">
        <v>5697</v>
      </c>
      <c r="V1346" s="1" t="s">
        <v>164</v>
      </c>
      <c r="W1346" s="1" t="s">
        <v>177</v>
      </c>
      <c r="X1346" s="1"/>
      <c r="Y1346" s="1" t="str">
        <f>"02001009155202089"</f>
        <v>02001009155202089</v>
      </c>
      <c r="Z1346" s="1" t="s">
        <v>147</v>
      </c>
      <c r="AA1346" s="1" t="s">
        <v>5698</v>
      </c>
      <c r="AB1346" s="1" t="str">
        <f>"***513261**"</f>
        <v>***513261**</v>
      </c>
      <c r="AC1346" s="1"/>
      <c r="AD1346" s="1"/>
      <c r="AE1346" s="1"/>
      <c r="AF1346" s="1">
        <v>-57.449722</v>
      </c>
      <c r="AG1346" s="1">
        <v>-9.594723</v>
      </c>
      <c r="AH1346" s="1" t="s">
        <v>5699</v>
      </c>
      <c r="AI1346" s="1"/>
      <c r="AJ1346" s="1" t="s">
        <v>172</v>
      </c>
      <c r="AK1346" s="1"/>
      <c r="AL1346" s="1" t="s">
        <v>79</v>
      </c>
      <c r="AM1346" s="1" t="s">
        <v>65</v>
      </c>
      <c r="AN1346" s="1" t="s">
        <v>2164</v>
      </c>
      <c r="AO1346" s="2">
        <v>43921.0</v>
      </c>
      <c r="AP1346" s="2">
        <v>43921.7778240741</v>
      </c>
      <c r="AQ1346" s="1" t="s">
        <v>80</v>
      </c>
      <c r="AR1346" s="1" t="s">
        <v>650</v>
      </c>
      <c r="AS1346" s="1"/>
      <c r="AT1346" s="2">
        <v>44269.931099537</v>
      </c>
    </row>
    <row r="1347" ht="13.5" customHeight="1">
      <c r="A1347" s="1">
        <v>2038465.0</v>
      </c>
      <c r="B1347" s="1" t="s">
        <v>67</v>
      </c>
      <c r="C1347" s="1" t="s">
        <v>68</v>
      </c>
      <c r="D1347" s="1" t="s">
        <v>46</v>
      </c>
      <c r="E1347" s="1" t="s">
        <v>5700</v>
      </c>
      <c r="F1347" s="1"/>
      <c r="G1347" s="1" t="s">
        <v>70</v>
      </c>
      <c r="H1347" s="1" t="s">
        <v>93</v>
      </c>
      <c r="I1347" s="1">
        <v>120000.0</v>
      </c>
      <c r="J1347" s="1"/>
      <c r="K1347" s="1"/>
      <c r="L1347" s="1" t="s">
        <v>1172</v>
      </c>
      <c r="M1347" s="1" t="s">
        <v>5701</v>
      </c>
      <c r="N1347" s="1" t="s">
        <v>142</v>
      </c>
      <c r="O1347" s="1" t="s">
        <v>143</v>
      </c>
      <c r="P1347" s="2">
        <v>43782.5833333333</v>
      </c>
      <c r="Q1347" s="1" t="s">
        <v>373</v>
      </c>
      <c r="R1347" s="3">
        <v>43782.0</v>
      </c>
      <c r="S1347" s="1"/>
      <c r="T1347" s="1">
        <v>1503705.0</v>
      </c>
      <c r="U1347" s="1" t="s">
        <v>5702</v>
      </c>
      <c r="V1347" s="1" t="s">
        <v>193</v>
      </c>
      <c r="W1347" s="1" t="s">
        <v>177</v>
      </c>
      <c r="X1347" s="1"/>
      <c r="Y1347" s="1"/>
      <c r="Z1347" s="1" t="s">
        <v>147</v>
      </c>
      <c r="AA1347" s="1" t="s">
        <v>5703</v>
      </c>
      <c r="AB1347" s="1" t="str">
        <f>"***438785**"</f>
        <v>***438785**</v>
      </c>
      <c r="AC1347" s="1"/>
      <c r="AD1347" s="1"/>
      <c r="AE1347" s="1"/>
      <c r="AF1347" s="1">
        <v>-50.489723</v>
      </c>
      <c r="AG1347" s="1">
        <v>-5.208055</v>
      </c>
      <c r="AH1347" s="1" t="s">
        <v>5704</v>
      </c>
      <c r="AI1347" s="1"/>
      <c r="AJ1347" s="1" t="s">
        <v>1172</v>
      </c>
      <c r="AK1347" s="1"/>
      <c r="AL1347" s="1" t="s">
        <v>79</v>
      </c>
      <c r="AM1347" s="1" t="s">
        <v>65</v>
      </c>
      <c r="AN1347" s="1" t="s">
        <v>3087</v>
      </c>
      <c r="AO1347" s="2">
        <v>44035.0</v>
      </c>
      <c r="AP1347" s="2">
        <v>44035.5613888889</v>
      </c>
      <c r="AQ1347" s="1" t="s">
        <v>80</v>
      </c>
      <c r="AR1347" s="1" t="s">
        <v>1607</v>
      </c>
      <c r="AS1347" s="1"/>
      <c r="AT1347" s="2">
        <v>44269.931099537</v>
      </c>
    </row>
    <row r="1348" ht="13.5" customHeight="1">
      <c r="A1348" s="1">
        <v>2042608.0</v>
      </c>
      <c r="B1348" s="1" t="s">
        <v>67</v>
      </c>
      <c r="C1348" s="1" t="s">
        <v>68</v>
      </c>
      <c r="D1348" s="1" t="s">
        <v>46</v>
      </c>
      <c r="E1348" s="1" t="s">
        <v>5705</v>
      </c>
      <c r="F1348" s="1"/>
      <c r="G1348" s="1" t="s">
        <v>70</v>
      </c>
      <c r="H1348" s="1" t="s">
        <v>93</v>
      </c>
      <c r="I1348" s="1">
        <v>6000.0</v>
      </c>
      <c r="J1348" s="1"/>
      <c r="K1348" s="1"/>
      <c r="L1348" s="1" t="s">
        <v>1040</v>
      </c>
      <c r="M1348" s="1" t="s">
        <v>5706</v>
      </c>
      <c r="N1348" s="1" t="s">
        <v>142</v>
      </c>
      <c r="O1348" s="1" t="s">
        <v>143</v>
      </c>
      <c r="P1348" s="2">
        <v>43782.5833333333</v>
      </c>
      <c r="Q1348" s="1" t="s">
        <v>55</v>
      </c>
      <c r="R1348" s="1"/>
      <c r="S1348" s="1"/>
      <c r="T1348" s="1">
        <v>2615607.0</v>
      </c>
      <c r="U1348" s="1" t="s">
        <v>5422</v>
      </c>
      <c r="V1348" s="1" t="s">
        <v>1037</v>
      </c>
      <c r="W1348" s="1" t="s">
        <v>113</v>
      </c>
      <c r="X1348" s="1"/>
      <c r="Y1348" s="1" t="str">
        <f>"02019003782201983"</f>
        <v>02019003782201983</v>
      </c>
      <c r="Z1348" s="1" t="s">
        <v>147</v>
      </c>
      <c r="AA1348" s="1" t="s">
        <v>5707</v>
      </c>
      <c r="AB1348" s="1" t="str">
        <f>"31686018000112"</f>
        <v>31686018000112</v>
      </c>
      <c r="AC1348" s="1"/>
      <c r="AD1348" s="1"/>
      <c r="AE1348" s="1"/>
      <c r="AF1348" s="1">
        <v>-40.265835</v>
      </c>
      <c r="AG1348" s="1">
        <v>-7.748333</v>
      </c>
      <c r="AH1348" s="1" t="s">
        <v>5708</v>
      </c>
      <c r="AI1348" s="1"/>
      <c r="AJ1348" s="1" t="s">
        <v>1040</v>
      </c>
      <c r="AK1348" s="1"/>
      <c r="AL1348" s="1" t="s">
        <v>79</v>
      </c>
      <c r="AM1348" s="1" t="s">
        <v>65</v>
      </c>
      <c r="AN1348" s="1" t="s">
        <v>1279</v>
      </c>
      <c r="AO1348" s="2">
        <v>44210.0</v>
      </c>
      <c r="AP1348" s="2">
        <v>44210.7862384259</v>
      </c>
      <c r="AQ1348" s="1" t="s">
        <v>80</v>
      </c>
      <c r="AR1348" s="1" t="s">
        <v>181</v>
      </c>
      <c r="AS1348" s="1" t="s">
        <v>5709</v>
      </c>
      <c r="AT1348" s="2">
        <v>44269.931099537</v>
      </c>
    </row>
    <row r="1349" ht="13.5" customHeight="1">
      <c r="A1349" s="1"/>
      <c r="B1349" s="1" t="s">
        <v>46</v>
      </c>
      <c r="C1349" s="1" t="s">
        <v>657</v>
      </c>
      <c r="D1349" s="1" t="s">
        <v>67</v>
      </c>
      <c r="E1349" s="1" t="s">
        <v>5710</v>
      </c>
      <c r="F1349" s="1"/>
      <c r="G1349" s="1"/>
      <c r="H1349" s="1" t="s">
        <v>93</v>
      </c>
      <c r="I1349" s="1">
        <v>11700.0</v>
      </c>
      <c r="J1349" s="1"/>
      <c r="K1349" s="1"/>
      <c r="L1349" s="1"/>
      <c r="M1349" s="1" t="s">
        <v>5711</v>
      </c>
      <c r="N1349" s="1" t="s">
        <v>53</v>
      </c>
      <c r="O1349" s="1" t="s">
        <v>54</v>
      </c>
      <c r="P1349" s="2">
        <v>43782.5797800926</v>
      </c>
      <c r="Q1349" s="1" t="s">
        <v>55</v>
      </c>
      <c r="R1349" s="1"/>
      <c r="S1349" s="1"/>
      <c r="T1349" s="1">
        <v>4208203.0</v>
      </c>
      <c r="U1349" s="1" t="s">
        <v>735</v>
      </c>
      <c r="V1349" s="1" t="s">
        <v>267</v>
      </c>
      <c r="W1349" s="1" t="s">
        <v>288</v>
      </c>
      <c r="X1349" s="1"/>
      <c r="Y1349" s="1"/>
      <c r="Z1349" s="1" t="s">
        <v>60</v>
      </c>
      <c r="AA1349" s="1" t="s">
        <v>5231</v>
      </c>
      <c r="AB1349" s="1" t="str">
        <f>"***378639**"</f>
        <v>***378639**</v>
      </c>
      <c r="AC1349" s="1"/>
      <c r="AD1349" s="1" t="s">
        <v>62</v>
      </c>
      <c r="AE1349" s="1"/>
      <c r="AF1349" s="1">
        <v>-48.671391</v>
      </c>
      <c r="AG1349" s="1">
        <v>-26.919443</v>
      </c>
      <c r="AH1349" s="1" t="s">
        <v>5232</v>
      </c>
      <c r="AI1349" s="1"/>
      <c r="AJ1349" s="1" t="s">
        <v>264</v>
      </c>
      <c r="AK1349" s="1"/>
      <c r="AL1349" s="1"/>
      <c r="AM1349" s="1" t="s">
        <v>65</v>
      </c>
      <c r="AN1349" s="1"/>
      <c r="AO1349" s="1"/>
      <c r="AP1349" s="2">
        <v>43782.5827662037</v>
      </c>
      <c r="AQ1349" s="1"/>
      <c r="AR1349" s="1" t="s">
        <v>3247</v>
      </c>
      <c r="AS1349" s="1"/>
      <c r="AT1349" s="2">
        <v>44269.931099537</v>
      </c>
    </row>
    <row r="1350" ht="13.5" customHeight="1">
      <c r="A1350" s="1"/>
      <c r="B1350" s="1" t="s">
        <v>46</v>
      </c>
      <c r="C1350" s="1" t="s">
        <v>47</v>
      </c>
      <c r="D1350" s="1"/>
      <c r="E1350" s="1" t="s">
        <v>5712</v>
      </c>
      <c r="F1350" s="1"/>
      <c r="G1350" s="1" t="s">
        <v>49</v>
      </c>
      <c r="H1350" s="1" t="s">
        <v>93</v>
      </c>
      <c r="I1350" s="1">
        <v>4000.0</v>
      </c>
      <c r="J1350" s="1"/>
      <c r="K1350" s="1"/>
      <c r="L1350" s="1"/>
      <c r="M1350" s="1" t="s">
        <v>5713</v>
      </c>
      <c r="N1350" s="1" t="s">
        <v>95</v>
      </c>
      <c r="O1350" s="1" t="s">
        <v>96</v>
      </c>
      <c r="P1350" s="2">
        <v>43782.5516898148</v>
      </c>
      <c r="Q1350" s="1" t="s">
        <v>55</v>
      </c>
      <c r="R1350" s="1"/>
      <c r="S1350" s="1"/>
      <c r="T1350" s="1">
        <v>3205150.0</v>
      </c>
      <c r="U1350" s="1" t="s">
        <v>5714</v>
      </c>
      <c r="V1350" s="1" t="s">
        <v>403</v>
      </c>
      <c r="W1350" s="1" t="s">
        <v>59</v>
      </c>
      <c r="X1350" s="1"/>
      <c r="Y1350" s="1"/>
      <c r="Z1350" s="1" t="s">
        <v>98</v>
      </c>
      <c r="AA1350" s="1" t="s">
        <v>5715</v>
      </c>
      <c r="AB1350" s="1" t="str">
        <f>"***651477**"</f>
        <v>***651477**</v>
      </c>
      <c r="AC1350" s="1"/>
      <c r="AD1350" s="1" t="s">
        <v>62</v>
      </c>
      <c r="AE1350" s="1"/>
      <c r="AF1350" s="1">
        <v>-40.605831</v>
      </c>
      <c r="AG1350" s="1">
        <v>-18.617779</v>
      </c>
      <c r="AH1350" s="1" t="s">
        <v>5716</v>
      </c>
      <c r="AI1350" s="1"/>
      <c r="AJ1350" s="1" t="s">
        <v>406</v>
      </c>
      <c r="AK1350" s="1"/>
      <c r="AL1350" s="1"/>
      <c r="AM1350" s="1" t="s">
        <v>65</v>
      </c>
      <c r="AN1350" s="1" t="s">
        <v>5600</v>
      </c>
      <c r="AO1350" s="1"/>
      <c r="AP1350" s="2">
        <v>43977.4602546296</v>
      </c>
      <c r="AQ1350" s="1"/>
      <c r="AR1350" s="1" t="s">
        <v>5717</v>
      </c>
      <c r="AS1350" s="1"/>
      <c r="AT1350" s="2">
        <v>44269.931099537</v>
      </c>
    </row>
    <row r="1351" ht="13.5" customHeight="1">
      <c r="A1351" s="1">
        <v>2035373.0</v>
      </c>
      <c r="B1351" s="1" t="s">
        <v>67</v>
      </c>
      <c r="C1351" s="1" t="s">
        <v>68</v>
      </c>
      <c r="D1351" s="1" t="s">
        <v>46</v>
      </c>
      <c r="E1351" s="1" t="s">
        <v>5718</v>
      </c>
      <c r="F1351" s="1"/>
      <c r="G1351" s="1" t="s">
        <v>70</v>
      </c>
      <c r="H1351" s="1" t="s">
        <v>93</v>
      </c>
      <c r="I1351" s="1">
        <v>140000.0</v>
      </c>
      <c r="J1351" s="1"/>
      <c r="K1351" s="1"/>
      <c r="L1351" s="1" t="s">
        <v>172</v>
      </c>
      <c r="M1351" s="1" t="s">
        <v>5719</v>
      </c>
      <c r="N1351" s="1" t="s">
        <v>142</v>
      </c>
      <c r="O1351" s="1" t="s">
        <v>143</v>
      </c>
      <c r="P1351" s="2">
        <v>43782.5416666667</v>
      </c>
      <c r="Q1351" s="1" t="s">
        <v>373</v>
      </c>
      <c r="R1351" s="3">
        <v>43782.0</v>
      </c>
      <c r="S1351" s="1"/>
      <c r="T1351" s="1">
        <v>1100338.0</v>
      </c>
      <c r="U1351" s="1" t="s">
        <v>5017</v>
      </c>
      <c r="V1351" s="1" t="s">
        <v>448</v>
      </c>
      <c r="W1351" s="1" t="s">
        <v>177</v>
      </c>
      <c r="X1351" s="1"/>
      <c r="Y1351" s="1" t="str">
        <f>"02001006603202092"</f>
        <v>02001006603202092</v>
      </c>
      <c r="Z1351" s="1" t="s">
        <v>147</v>
      </c>
      <c r="AA1351" s="1" t="s">
        <v>5720</v>
      </c>
      <c r="AB1351" s="1" t="str">
        <f>"***894022**"</f>
        <v>***894022**</v>
      </c>
      <c r="AC1351" s="1"/>
      <c r="AD1351" s="1"/>
      <c r="AE1351" s="1"/>
      <c r="AF1351" s="1">
        <v>-65.09417</v>
      </c>
      <c r="AG1351" s="1">
        <v>-10.112223</v>
      </c>
      <c r="AH1351" s="1" t="s">
        <v>5721</v>
      </c>
      <c r="AI1351" s="1"/>
      <c r="AJ1351" s="1" t="s">
        <v>172</v>
      </c>
      <c r="AK1351" s="1"/>
      <c r="AL1351" s="1" t="s">
        <v>79</v>
      </c>
      <c r="AM1351" s="1" t="s">
        <v>65</v>
      </c>
      <c r="AN1351" s="1" t="s">
        <v>1395</v>
      </c>
      <c r="AO1351" s="2">
        <v>43901.0</v>
      </c>
      <c r="AP1351" s="2">
        <v>43901.6600347222</v>
      </c>
      <c r="AQ1351" s="1" t="s">
        <v>80</v>
      </c>
      <c r="AR1351" s="1" t="s">
        <v>451</v>
      </c>
      <c r="AS1351" s="1"/>
      <c r="AT1351" s="2">
        <v>44269.931099537</v>
      </c>
    </row>
    <row r="1352" ht="13.5" customHeight="1">
      <c r="A1352" s="1">
        <v>2035374.0</v>
      </c>
      <c r="B1352" s="1" t="s">
        <v>67</v>
      </c>
      <c r="C1352" s="1" t="s">
        <v>68</v>
      </c>
      <c r="D1352" s="1" t="s">
        <v>46</v>
      </c>
      <c r="E1352" s="1" t="s">
        <v>5722</v>
      </c>
      <c r="F1352" s="1"/>
      <c r="G1352" s="1" t="s">
        <v>70</v>
      </c>
      <c r="H1352" s="1" t="s">
        <v>93</v>
      </c>
      <c r="I1352" s="1">
        <v>48500.0</v>
      </c>
      <c r="J1352" s="1"/>
      <c r="K1352" s="1"/>
      <c r="L1352" s="1" t="s">
        <v>172</v>
      </c>
      <c r="M1352" s="1" t="s">
        <v>5723</v>
      </c>
      <c r="N1352" s="1" t="s">
        <v>142</v>
      </c>
      <c r="O1352" s="1" t="s">
        <v>143</v>
      </c>
      <c r="P1352" s="2">
        <v>43782.5416666667</v>
      </c>
      <c r="Q1352" s="1" t="s">
        <v>373</v>
      </c>
      <c r="R1352" s="3">
        <v>43782.0</v>
      </c>
      <c r="S1352" s="1"/>
      <c r="T1352" s="1">
        <v>1100338.0</v>
      </c>
      <c r="U1352" s="1" t="s">
        <v>5017</v>
      </c>
      <c r="V1352" s="1" t="s">
        <v>448</v>
      </c>
      <c r="W1352" s="1" t="s">
        <v>177</v>
      </c>
      <c r="X1352" s="1"/>
      <c r="Y1352" s="1" t="str">
        <f>"02001006604202037"</f>
        <v>02001006604202037</v>
      </c>
      <c r="Z1352" s="1" t="s">
        <v>147</v>
      </c>
      <c r="AA1352" s="1" t="s">
        <v>5724</v>
      </c>
      <c r="AB1352" s="1" t="str">
        <f>"***641592**"</f>
        <v>***641592**</v>
      </c>
      <c r="AC1352" s="1"/>
      <c r="AD1352" s="1"/>
      <c r="AE1352" s="1"/>
      <c r="AF1352" s="1">
        <v>-64.97361</v>
      </c>
      <c r="AG1352" s="1">
        <v>-10.051667</v>
      </c>
      <c r="AH1352" s="1" t="s">
        <v>5725</v>
      </c>
      <c r="AI1352" s="1"/>
      <c r="AJ1352" s="1" t="s">
        <v>172</v>
      </c>
      <c r="AK1352" s="1"/>
      <c r="AL1352" s="1" t="s">
        <v>79</v>
      </c>
      <c r="AM1352" s="1" t="s">
        <v>65</v>
      </c>
      <c r="AN1352" s="1" t="s">
        <v>1395</v>
      </c>
      <c r="AO1352" s="2">
        <v>43901.0</v>
      </c>
      <c r="AP1352" s="2">
        <v>43901.6609259259</v>
      </c>
      <c r="AQ1352" s="1" t="s">
        <v>80</v>
      </c>
      <c r="AR1352" s="1" t="s">
        <v>650</v>
      </c>
      <c r="AS1352" s="1" t="s">
        <v>5726</v>
      </c>
      <c r="AT1352" s="2">
        <v>44269.931099537</v>
      </c>
    </row>
    <row r="1353" ht="13.5" customHeight="1">
      <c r="A1353" s="1">
        <v>2038820.0</v>
      </c>
      <c r="B1353" s="1" t="s">
        <v>67</v>
      </c>
      <c r="C1353" s="1" t="s">
        <v>68</v>
      </c>
      <c r="D1353" s="1" t="s">
        <v>46</v>
      </c>
      <c r="E1353" s="1" t="s">
        <v>5727</v>
      </c>
      <c r="F1353" s="1"/>
      <c r="G1353" s="1" t="s">
        <v>70</v>
      </c>
      <c r="H1353" s="1" t="s">
        <v>93</v>
      </c>
      <c r="I1353" s="1">
        <v>6000.0</v>
      </c>
      <c r="J1353" s="1"/>
      <c r="K1353" s="1"/>
      <c r="L1353" s="1" t="s">
        <v>1040</v>
      </c>
      <c r="M1353" s="1" t="s">
        <v>5728</v>
      </c>
      <c r="N1353" s="1" t="s">
        <v>142</v>
      </c>
      <c r="O1353" s="1" t="s">
        <v>143</v>
      </c>
      <c r="P1353" s="2">
        <v>43782.5416666667</v>
      </c>
      <c r="Q1353" s="1" t="s">
        <v>55</v>
      </c>
      <c r="R1353" s="1"/>
      <c r="S1353" s="1"/>
      <c r="T1353" s="1">
        <v>2615607.0</v>
      </c>
      <c r="U1353" s="1" t="s">
        <v>5422</v>
      </c>
      <c r="V1353" s="1" t="s">
        <v>1037</v>
      </c>
      <c r="W1353" s="1" t="s">
        <v>113</v>
      </c>
      <c r="X1353" s="1"/>
      <c r="Y1353" s="1" t="str">
        <f>"02019001761202067"</f>
        <v>02019001761202067</v>
      </c>
      <c r="Z1353" s="1" t="s">
        <v>147</v>
      </c>
      <c r="AA1353" s="1" t="s">
        <v>5674</v>
      </c>
      <c r="AB1353" s="1" t="str">
        <f>"27995439000158"</f>
        <v>27995439000158</v>
      </c>
      <c r="AC1353" s="1"/>
      <c r="AD1353" s="1"/>
      <c r="AE1353" s="1"/>
      <c r="AF1353" s="1">
        <v>-40.264721</v>
      </c>
      <c r="AG1353" s="1">
        <v>-7.749167</v>
      </c>
      <c r="AH1353" s="1" t="s">
        <v>5729</v>
      </c>
      <c r="AI1353" s="1"/>
      <c r="AJ1353" s="1" t="s">
        <v>1040</v>
      </c>
      <c r="AK1353" s="1"/>
      <c r="AL1353" s="1" t="s">
        <v>79</v>
      </c>
      <c r="AM1353" s="1" t="s">
        <v>65</v>
      </c>
      <c r="AN1353" s="1" t="s">
        <v>1279</v>
      </c>
      <c r="AO1353" s="2">
        <v>44046.0</v>
      </c>
      <c r="AP1353" s="2">
        <v>44046.7959837963</v>
      </c>
      <c r="AQ1353" s="1" t="s">
        <v>80</v>
      </c>
      <c r="AR1353" s="1" t="s">
        <v>181</v>
      </c>
      <c r="AS1353" s="1"/>
      <c r="AT1353" s="2">
        <v>44269.931099537</v>
      </c>
    </row>
    <row r="1354" ht="13.5" customHeight="1">
      <c r="A1354" s="1">
        <v>2042790.0</v>
      </c>
      <c r="B1354" s="1" t="s">
        <v>67</v>
      </c>
      <c r="C1354" s="1" t="s">
        <v>68</v>
      </c>
      <c r="D1354" s="1" t="s">
        <v>46</v>
      </c>
      <c r="E1354" s="1" t="s">
        <v>5730</v>
      </c>
      <c r="F1354" s="1"/>
      <c r="G1354" s="1" t="s">
        <v>70</v>
      </c>
      <c r="H1354" s="1" t="s">
        <v>93</v>
      </c>
      <c r="I1354" s="1">
        <v>11700.0</v>
      </c>
      <c r="J1354" s="1"/>
      <c r="K1354" s="1"/>
      <c r="L1354" s="1" t="s">
        <v>264</v>
      </c>
      <c r="M1354" s="1" t="s">
        <v>5731</v>
      </c>
      <c r="N1354" s="1" t="s">
        <v>53</v>
      </c>
      <c r="O1354" s="1" t="s">
        <v>54</v>
      </c>
      <c r="P1354" s="2">
        <v>43782.5270833333</v>
      </c>
      <c r="Q1354" s="1"/>
      <c r="R1354" s="3">
        <v>43794.0</v>
      </c>
      <c r="S1354" s="1"/>
      <c r="T1354" s="1">
        <v>4208203.0</v>
      </c>
      <c r="U1354" s="1" t="s">
        <v>735</v>
      </c>
      <c r="V1354" s="1" t="s">
        <v>267</v>
      </c>
      <c r="W1354" s="1" t="s">
        <v>288</v>
      </c>
      <c r="X1354" s="1"/>
      <c r="Y1354" s="1" t="str">
        <f>"02610001915201906"</f>
        <v>02610001915201906</v>
      </c>
      <c r="Z1354" s="1" t="s">
        <v>60</v>
      </c>
      <c r="AA1354" s="1" t="s">
        <v>5231</v>
      </c>
      <c r="AB1354" s="1" t="str">
        <f t="shared" ref="AB1354:AB1356" si="75">"***378639**"</f>
        <v>***378639**</v>
      </c>
      <c r="AC1354" s="1"/>
      <c r="AD1354" s="1" t="s">
        <v>116</v>
      </c>
      <c r="AE1354" s="1"/>
      <c r="AF1354" s="1">
        <v>-48.671389</v>
      </c>
      <c r="AG1354" s="1">
        <v>-26.919444</v>
      </c>
      <c r="AH1354" s="1" t="s">
        <v>5732</v>
      </c>
      <c r="AI1354" s="1"/>
      <c r="AJ1354" s="1"/>
      <c r="AK1354" s="1"/>
      <c r="AL1354" s="1" t="s">
        <v>118</v>
      </c>
      <c r="AM1354" s="1"/>
      <c r="AN1354" s="1"/>
      <c r="AO1354" s="2">
        <v>44216.8184953704</v>
      </c>
      <c r="AP1354" s="2">
        <v>44216.8184953704</v>
      </c>
      <c r="AQ1354" s="1" t="s">
        <v>80</v>
      </c>
      <c r="AR1354" s="1" t="s">
        <v>5733</v>
      </c>
      <c r="AS1354" s="1"/>
      <c r="AT1354" s="2">
        <v>44269.931099537</v>
      </c>
    </row>
    <row r="1355" ht="13.5" customHeight="1">
      <c r="A1355" s="1">
        <v>2042786.0</v>
      </c>
      <c r="B1355" s="1" t="s">
        <v>67</v>
      </c>
      <c r="C1355" s="1" t="s">
        <v>68</v>
      </c>
      <c r="D1355" s="1" t="s">
        <v>46</v>
      </c>
      <c r="E1355" s="1" t="s">
        <v>5734</v>
      </c>
      <c r="F1355" s="1"/>
      <c r="G1355" s="1" t="s">
        <v>70</v>
      </c>
      <c r="H1355" s="1" t="s">
        <v>93</v>
      </c>
      <c r="I1355" s="1">
        <v>11700.0</v>
      </c>
      <c r="J1355" s="1"/>
      <c r="K1355" s="1"/>
      <c r="L1355" s="1" t="s">
        <v>264</v>
      </c>
      <c r="M1355" s="1" t="s">
        <v>5735</v>
      </c>
      <c r="N1355" s="1" t="s">
        <v>53</v>
      </c>
      <c r="O1355" s="1" t="s">
        <v>54</v>
      </c>
      <c r="P1355" s="2">
        <v>43782.5222222222</v>
      </c>
      <c r="Q1355" s="1"/>
      <c r="R1355" s="3">
        <v>43794.0</v>
      </c>
      <c r="S1355" s="1"/>
      <c r="T1355" s="1">
        <v>4208203.0</v>
      </c>
      <c r="U1355" s="1" t="s">
        <v>735</v>
      </c>
      <c r="V1355" s="1" t="s">
        <v>267</v>
      </c>
      <c r="W1355" s="1" t="s">
        <v>288</v>
      </c>
      <c r="X1355" s="1"/>
      <c r="Y1355" s="1" t="str">
        <f>"02610001914201953"</f>
        <v>02610001914201953</v>
      </c>
      <c r="Z1355" s="1" t="s">
        <v>60</v>
      </c>
      <c r="AA1355" s="1" t="s">
        <v>5231</v>
      </c>
      <c r="AB1355" s="1" t="str">
        <f t="shared" si="75"/>
        <v>***378639**</v>
      </c>
      <c r="AC1355" s="1"/>
      <c r="AD1355" s="1" t="s">
        <v>116</v>
      </c>
      <c r="AE1355" s="1"/>
      <c r="AF1355" s="1">
        <v>-48.671389</v>
      </c>
      <c r="AG1355" s="1">
        <v>-26.919444</v>
      </c>
      <c r="AH1355" s="1" t="s">
        <v>5732</v>
      </c>
      <c r="AI1355" s="1"/>
      <c r="AJ1355" s="1"/>
      <c r="AK1355" s="1"/>
      <c r="AL1355" s="1" t="s">
        <v>118</v>
      </c>
      <c r="AM1355" s="1"/>
      <c r="AN1355" s="1"/>
      <c r="AO1355" s="2">
        <v>44216.813275463</v>
      </c>
      <c r="AP1355" s="2">
        <v>44216.813275463</v>
      </c>
      <c r="AQ1355" s="1" t="s">
        <v>80</v>
      </c>
      <c r="AR1355" s="1" t="s">
        <v>5733</v>
      </c>
      <c r="AS1355" s="1"/>
      <c r="AT1355" s="2">
        <v>44269.931099537</v>
      </c>
    </row>
    <row r="1356" ht="13.5" customHeight="1">
      <c r="A1356" s="1">
        <v>2042763.0</v>
      </c>
      <c r="B1356" s="1" t="s">
        <v>67</v>
      </c>
      <c r="C1356" s="1" t="s">
        <v>68</v>
      </c>
      <c r="D1356" s="1" t="s">
        <v>46</v>
      </c>
      <c r="E1356" s="1" t="s">
        <v>5736</v>
      </c>
      <c r="F1356" s="1"/>
      <c r="G1356" s="1" t="s">
        <v>70</v>
      </c>
      <c r="H1356" s="1" t="s">
        <v>93</v>
      </c>
      <c r="I1356" s="1">
        <v>11700.0</v>
      </c>
      <c r="J1356" s="1"/>
      <c r="K1356" s="1"/>
      <c r="L1356" s="1" t="s">
        <v>264</v>
      </c>
      <c r="M1356" s="1" t="s">
        <v>5737</v>
      </c>
      <c r="N1356" s="1" t="s">
        <v>53</v>
      </c>
      <c r="O1356" s="1" t="s">
        <v>54</v>
      </c>
      <c r="P1356" s="2">
        <v>43782.5166666667</v>
      </c>
      <c r="Q1356" s="1" t="s">
        <v>74</v>
      </c>
      <c r="R1356" s="3">
        <v>43794.0</v>
      </c>
      <c r="S1356" s="1"/>
      <c r="T1356" s="1">
        <v>4208203.0</v>
      </c>
      <c r="U1356" s="1" t="s">
        <v>735</v>
      </c>
      <c r="V1356" s="1" t="s">
        <v>267</v>
      </c>
      <c r="W1356" s="1" t="s">
        <v>288</v>
      </c>
      <c r="X1356" s="1"/>
      <c r="Y1356" s="1" t="str">
        <f>"02610001913201917"</f>
        <v>02610001913201917</v>
      </c>
      <c r="Z1356" s="1" t="s">
        <v>60</v>
      </c>
      <c r="AA1356" s="1" t="s">
        <v>5231</v>
      </c>
      <c r="AB1356" s="1" t="str">
        <f t="shared" si="75"/>
        <v>***378639**</v>
      </c>
      <c r="AC1356" s="1"/>
      <c r="AD1356" s="1" t="s">
        <v>116</v>
      </c>
      <c r="AE1356" s="1"/>
      <c r="AF1356" s="1">
        <v>-48.668889</v>
      </c>
      <c r="AG1356" s="1">
        <v>-26.918333</v>
      </c>
      <c r="AH1356" s="1" t="s">
        <v>5301</v>
      </c>
      <c r="AI1356" s="1"/>
      <c r="AJ1356" s="1"/>
      <c r="AK1356" s="1"/>
      <c r="AL1356" s="1" t="s">
        <v>118</v>
      </c>
      <c r="AM1356" s="1"/>
      <c r="AN1356" s="1"/>
      <c r="AO1356" s="2">
        <v>44216.7499305556</v>
      </c>
      <c r="AP1356" s="2">
        <v>44216.7511111111</v>
      </c>
      <c r="AQ1356" s="1" t="s">
        <v>80</v>
      </c>
      <c r="AR1356" s="1" t="s">
        <v>5302</v>
      </c>
      <c r="AS1356" s="1"/>
      <c r="AT1356" s="2">
        <v>44269.931099537</v>
      </c>
    </row>
    <row r="1357" ht="13.5" customHeight="1">
      <c r="A1357" s="1"/>
      <c r="B1357" s="1" t="s">
        <v>46</v>
      </c>
      <c r="C1357" s="1" t="s">
        <v>47</v>
      </c>
      <c r="D1357" s="1"/>
      <c r="E1357" s="1" t="s">
        <v>5738</v>
      </c>
      <c r="F1357" s="1"/>
      <c r="G1357" s="1"/>
      <c r="H1357" s="1" t="s">
        <v>93</v>
      </c>
      <c r="I1357" s="1">
        <v>7500.0</v>
      </c>
      <c r="J1357" s="1"/>
      <c r="K1357" s="1"/>
      <c r="L1357" s="1"/>
      <c r="M1357" s="1" t="s">
        <v>5739</v>
      </c>
      <c r="N1357" s="1" t="s">
        <v>95</v>
      </c>
      <c r="O1357" s="1" t="s">
        <v>96</v>
      </c>
      <c r="P1357" s="2">
        <v>43782.5029513889</v>
      </c>
      <c r="Q1357" s="1" t="s">
        <v>74</v>
      </c>
      <c r="R1357" s="3">
        <v>43782.0</v>
      </c>
      <c r="S1357" s="1"/>
      <c r="T1357" s="1">
        <v>3200607.0</v>
      </c>
      <c r="U1357" s="1" t="s">
        <v>402</v>
      </c>
      <c r="V1357" s="1" t="s">
        <v>403</v>
      </c>
      <c r="W1357" s="1" t="s">
        <v>59</v>
      </c>
      <c r="X1357" s="1"/>
      <c r="Y1357" s="1"/>
      <c r="Z1357" s="1" t="s">
        <v>98</v>
      </c>
      <c r="AA1357" s="1" t="s">
        <v>5740</v>
      </c>
      <c r="AB1357" s="1" t="str">
        <f>"***983337**"</f>
        <v>***983337**</v>
      </c>
      <c r="AC1357" s="1"/>
      <c r="AD1357" s="1" t="s">
        <v>62</v>
      </c>
      <c r="AE1357" s="1"/>
      <c r="AF1357" s="1">
        <v>-40.159725</v>
      </c>
      <c r="AG1357" s="1">
        <v>-19.955833</v>
      </c>
      <c r="AH1357" s="1" t="s">
        <v>5741</v>
      </c>
      <c r="AI1357" s="1"/>
      <c r="AJ1357" s="1" t="s">
        <v>406</v>
      </c>
      <c r="AK1357" s="1"/>
      <c r="AL1357" s="1"/>
      <c r="AM1357" s="1" t="s">
        <v>65</v>
      </c>
      <c r="AN1357" s="1" t="s">
        <v>5600</v>
      </c>
      <c r="AO1357" s="1"/>
      <c r="AP1357" s="2">
        <v>43782.5285069444</v>
      </c>
      <c r="AQ1357" s="1"/>
      <c r="AR1357" s="1" t="s">
        <v>5742</v>
      </c>
      <c r="AS1357" s="1" t="s">
        <v>5743</v>
      </c>
      <c r="AT1357" s="2">
        <v>44269.931099537</v>
      </c>
    </row>
    <row r="1358" ht="13.5" customHeight="1">
      <c r="A1358" s="1"/>
      <c r="B1358" s="1" t="s">
        <v>46</v>
      </c>
      <c r="C1358" s="1" t="s">
        <v>47</v>
      </c>
      <c r="D1358" s="1"/>
      <c r="E1358" s="1" t="s">
        <v>5744</v>
      </c>
      <c r="F1358" s="1"/>
      <c r="G1358" s="1" t="s">
        <v>49</v>
      </c>
      <c r="H1358" s="1" t="s">
        <v>93</v>
      </c>
      <c r="I1358" s="1">
        <v>11500.0</v>
      </c>
      <c r="J1358" s="1"/>
      <c r="K1358" s="1" t="s">
        <v>51</v>
      </c>
      <c r="L1358" s="1"/>
      <c r="M1358" s="1" t="s">
        <v>1885</v>
      </c>
      <c r="N1358" s="1" t="s">
        <v>1886</v>
      </c>
      <c r="O1358" s="1" t="s">
        <v>1887</v>
      </c>
      <c r="P1358" s="2">
        <v>43782.5006944444</v>
      </c>
      <c r="Q1358" s="1" t="s">
        <v>74</v>
      </c>
      <c r="R1358" s="1"/>
      <c r="S1358" s="1"/>
      <c r="T1358" s="1">
        <v>4125704.0</v>
      </c>
      <c r="U1358" s="1" t="s">
        <v>1888</v>
      </c>
      <c r="V1358" s="1" t="s">
        <v>176</v>
      </c>
      <c r="W1358" s="1" t="s">
        <v>59</v>
      </c>
      <c r="X1358" s="1"/>
      <c r="Y1358" s="1"/>
      <c r="Z1358" s="1" t="s">
        <v>1889</v>
      </c>
      <c r="AA1358" s="1" t="s">
        <v>5745</v>
      </c>
      <c r="AB1358" s="1" t="str">
        <f>"***453169**"</f>
        <v>***453169**</v>
      </c>
      <c r="AC1358" s="1"/>
      <c r="AD1358" s="1" t="s">
        <v>62</v>
      </c>
      <c r="AE1358" s="1"/>
      <c r="AF1358" s="1">
        <v>-54.461945</v>
      </c>
      <c r="AG1358" s="1">
        <v>-25.55361</v>
      </c>
      <c r="AH1358" s="1" t="s">
        <v>5746</v>
      </c>
      <c r="AI1358" s="1"/>
      <c r="AJ1358" s="1" t="s">
        <v>358</v>
      </c>
      <c r="AK1358" s="1"/>
      <c r="AL1358" s="1"/>
      <c r="AM1358" s="1" t="s">
        <v>65</v>
      </c>
      <c r="AN1358" s="1" t="s">
        <v>359</v>
      </c>
      <c r="AO1358" s="1"/>
      <c r="AP1358" s="2">
        <v>43937.6976851852</v>
      </c>
      <c r="AQ1358" s="1"/>
      <c r="AR1358" s="1" t="s">
        <v>1892</v>
      </c>
      <c r="AS1358" s="1"/>
      <c r="AT1358" s="2">
        <v>44269.931099537</v>
      </c>
    </row>
    <row r="1359" ht="13.5" customHeight="1">
      <c r="A1359" s="1">
        <v>2036103.0</v>
      </c>
      <c r="B1359" s="1" t="s">
        <v>67</v>
      </c>
      <c r="C1359" s="1" t="s">
        <v>68</v>
      </c>
      <c r="D1359" s="1" t="s">
        <v>46</v>
      </c>
      <c r="E1359" s="1" t="s">
        <v>5747</v>
      </c>
      <c r="F1359" s="1"/>
      <c r="G1359" s="1" t="s">
        <v>70</v>
      </c>
      <c r="H1359" s="1" t="s">
        <v>50</v>
      </c>
      <c r="I1359" s="1">
        <v>11000.0</v>
      </c>
      <c r="J1359" s="1"/>
      <c r="K1359" s="1"/>
      <c r="L1359" s="1" t="s">
        <v>406</v>
      </c>
      <c r="M1359" s="1" t="s">
        <v>5748</v>
      </c>
      <c r="N1359" s="1" t="s">
        <v>95</v>
      </c>
      <c r="O1359" s="1" t="s">
        <v>96</v>
      </c>
      <c r="P1359" s="2">
        <v>43782.5</v>
      </c>
      <c r="Q1359" s="1" t="s">
        <v>373</v>
      </c>
      <c r="R1359" s="3">
        <v>43782.0</v>
      </c>
      <c r="S1359" s="1"/>
      <c r="T1359" s="1">
        <v>3204005.0</v>
      </c>
      <c r="U1359" s="1" t="s">
        <v>945</v>
      </c>
      <c r="V1359" s="1" t="s">
        <v>403</v>
      </c>
      <c r="W1359" s="1" t="s">
        <v>59</v>
      </c>
      <c r="X1359" s="1"/>
      <c r="Y1359" s="1" t="str">
        <f>"02009000854202093"</f>
        <v>02009000854202093</v>
      </c>
      <c r="Z1359" s="1" t="s">
        <v>98</v>
      </c>
      <c r="AA1359" s="1" t="s">
        <v>5749</v>
      </c>
      <c r="AB1359" s="1" t="str">
        <f>"***368327**"</f>
        <v>***368327**</v>
      </c>
      <c r="AC1359" s="1"/>
      <c r="AD1359" s="1"/>
      <c r="AE1359" s="1"/>
      <c r="AF1359" s="1">
        <v>-40.850277</v>
      </c>
      <c r="AG1359" s="1">
        <v>-19.221945</v>
      </c>
      <c r="AH1359" s="1" t="s">
        <v>5627</v>
      </c>
      <c r="AI1359" s="1"/>
      <c r="AJ1359" s="1" t="s">
        <v>406</v>
      </c>
      <c r="AK1359" s="1"/>
      <c r="AL1359" s="1" t="s">
        <v>79</v>
      </c>
      <c r="AM1359" s="1" t="s">
        <v>65</v>
      </c>
      <c r="AN1359" s="1" t="s">
        <v>5600</v>
      </c>
      <c r="AO1359" s="2">
        <v>43935.0</v>
      </c>
      <c r="AP1359" s="2">
        <v>43935.4575694444</v>
      </c>
      <c r="AQ1359" s="1" t="s">
        <v>80</v>
      </c>
      <c r="AR1359" s="1" t="s">
        <v>2941</v>
      </c>
      <c r="AS1359" s="1"/>
      <c r="AT1359" s="2">
        <v>44269.931099537</v>
      </c>
    </row>
    <row r="1360" ht="13.5" customHeight="1">
      <c r="A1360" s="1">
        <v>2042781.0</v>
      </c>
      <c r="B1360" s="1" t="s">
        <v>67</v>
      </c>
      <c r="C1360" s="1" t="s">
        <v>68</v>
      </c>
      <c r="D1360" s="1" t="s">
        <v>46</v>
      </c>
      <c r="E1360" s="1" t="s">
        <v>5750</v>
      </c>
      <c r="F1360" s="1"/>
      <c r="G1360" s="1" t="s">
        <v>70</v>
      </c>
      <c r="H1360" s="1" t="s">
        <v>93</v>
      </c>
      <c r="I1360" s="1">
        <v>11700.0</v>
      </c>
      <c r="J1360" s="1"/>
      <c r="K1360" s="1"/>
      <c r="L1360" s="1" t="s">
        <v>264</v>
      </c>
      <c r="M1360" s="1" t="s">
        <v>5751</v>
      </c>
      <c r="N1360" s="1" t="s">
        <v>53</v>
      </c>
      <c r="O1360" s="1" t="s">
        <v>54</v>
      </c>
      <c r="P1360" s="2">
        <v>43782.4923611111</v>
      </c>
      <c r="Q1360" s="1"/>
      <c r="R1360" s="3">
        <v>43794.0</v>
      </c>
      <c r="S1360" s="1"/>
      <c r="T1360" s="1">
        <v>4208203.0</v>
      </c>
      <c r="U1360" s="1" t="s">
        <v>735</v>
      </c>
      <c r="V1360" s="1" t="s">
        <v>267</v>
      </c>
      <c r="W1360" s="1" t="s">
        <v>288</v>
      </c>
      <c r="X1360" s="1"/>
      <c r="Y1360" s="1" t="str">
        <f>"02610001912201964"</f>
        <v>02610001912201964</v>
      </c>
      <c r="Z1360" s="1" t="s">
        <v>60</v>
      </c>
      <c r="AA1360" s="1" t="s">
        <v>5231</v>
      </c>
      <c r="AB1360" s="1" t="str">
        <f t="shared" ref="AB1360:AB1364" si="76">"***378639**"</f>
        <v>***378639**</v>
      </c>
      <c r="AC1360" s="1"/>
      <c r="AD1360" s="1" t="s">
        <v>116</v>
      </c>
      <c r="AE1360" s="1"/>
      <c r="AF1360" s="1">
        <v>-48.668889</v>
      </c>
      <c r="AG1360" s="1">
        <v>-26.918333</v>
      </c>
      <c r="AH1360" s="1" t="s">
        <v>5732</v>
      </c>
      <c r="AI1360" s="1"/>
      <c r="AJ1360" s="1"/>
      <c r="AK1360" s="1"/>
      <c r="AL1360" s="1" t="s">
        <v>118</v>
      </c>
      <c r="AM1360" s="1"/>
      <c r="AN1360" s="1"/>
      <c r="AO1360" s="2">
        <v>44216.7974537037</v>
      </c>
      <c r="AP1360" s="2">
        <v>44216.7974537037</v>
      </c>
      <c r="AQ1360" s="1" t="s">
        <v>80</v>
      </c>
      <c r="AR1360" s="1" t="s">
        <v>5733</v>
      </c>
      <c r="AS1360" s="1"/>
      <c r="AT1360" s="2">
        <v>44269.931099537</v>
      </c>
    </row>
    <row r="1361" ht="13.5" customHeight="1">
      <c r="A1361" s="1">
        <v>2042779.0</v>
      </c>
      <c r="B1361" s="1" t="s">
        <v>67</v>
      </c>
      <c r="C1361" s="1" t="s">
        <v>68</v>
      </c>
      <c r="D1361" s="1" t="s">
        <v>46</v>
      </c>
      <c r="E1361" s="1" t="s">
        <v>5752</v>
      </c>
      <c r="F1361" s="1"/>
      <c r="G1361" s="1" t="s">
        <v>70</v>
      </c>
      <c r="H1361" s="1" t="s">
        <v>93</v>
      </c>
      <c r="I1361" s="1">
        <v>11700.0</v>
      </c>
      <c r="J1361" s="1"/>
      <c r="K1361" s="1"/>
      <c r="L1361" s="1" t="s">
        <v>264</v>
      </c>
      <c r="M1361" s="1" t="s">
        <v>5753</v>
      </c>
      <c r="N1361" s="1" t="s">
        <v>53</v>
      </c>
      <c r="O1361" s="1" t="s">
        <v>54</v>
      </c>
      <c r="P1361" s="2">
        <v>43782.4875</v>
      </c>
      <c r="Q1361" s="1"/>
      <c r="R1361" s="3">
        <v>43794.0</v>
      </c>
      <c r="S1361" s="1"/>
      <c r="T1361" s="1">
        <v>4208203.0</v>
      </c>
      <c r="U1361" s="1" t="s">
        <v>735</v>
      </c>
      <c r="V1361" s="1" t="s">
        <v>267</v>
      </c>
      <c r="W1361" s="1" t="s">
        <v>288</v>
      </c>
      <c r="X1361" s="1"/>
      <c r="Y1361" s="1" t="str">
        <f>"02610001911201910"</f>
        <v>02610001911201910</v>
      </c>
      <c r="Z1361" s="1" t="s">
        <v>60</v>
      </c>
      <c r="AA1361" s="1" t="s">
        <v>5231</v>
      </c>
      <c r="AB1361" s="1" t="str">
        <f t="shared" si="76"/>
        <v>***378639**</v>
      </c>
      <c r="AC1361" s="1"/>
      <c r="AD1361" s="1" t="s">
        <v>116</v>
      </c>
      <c r="AE1361" s="1"/>
      <c r="AF1361" s="1">
        <v>-48.668889</v>
      </c>
      <c r="AG1361" s="1">
        <v>-26.918333</v>
      </c>
      <c r="AH1361" s="1" t="s">
        <v>5732</v>
      </c>
      <c r="AI1361" s="1"/>
      <c r="AJ1361" s="1"/>
      <c r="AK1361" s="1"/>
      <c r="AL1361" s="1" t="s">
        <v>118</v>
      </c>
      <c r="AM1361" s="1"/>
      <c r="AN1361" s="1"/>
      <c r="AO1361" s="2">
        <v>44216.7925231481</v>
      </c>
      <c r="AP1361" s="2">
        <v>44216.7927083333</v>
      </c>
      <c r="AQ1361" s="1" t="s">
        <v>80</v>
      </c>
      <c r="AR1361" s="1" t="s">
        <v>5733</v>
      </c>
      <c r="AS1361" s="1"/>
      <c r="AT1361" s="2">
        <v>44269.931099537</v>
      </c>
    </row>
    <row r="1362" ht="13.5" customHeight="1">
      <c r="A1362" s="1">
        <v>2042770.0</v>
      </c>
      <c r="B1362" s="1" t="s">
        <v>67</v>
      </c>
      <c r="C1362" s="1" t="s">
        <v>68</v>
      </c>
      <c r="D1362" s="1" t="s">
        <v>46</v>
      </c>
      <c r="E1362" s="1" t="s">
        <v>5754</v>
      </c>
      <c r="F1362" s="1"/>
      <c r="G1362" s="1" t="s">
        <v>70</v>
      </c>
      <c r="H1362" s="1" t="s">
        <v>93</v>
      </c>
      <c r="I1362" s="1">
        <v>11700.0</v>
      </c>
      <c r="J1362" s="1"/>
      <c r="K1362" s="1"/>
      <c r="L1362" s="1" t="s">
        <v>264</v>
      </c>
      <c r="M1362" s="1" t="s">
        <v>5755</v>
      </c>
      <c r="N1362" s="1" t="s">
        <v>53</v>
      </c>
      <c r="O1362" s="1" t="s">
        <v>54</v>
      </c>
      <c r="P1362" s="2">
        <v>43782.4826388889</v>
      </c>
      <c r="Q1362" s="1"/>
      <c r="R1362" s="3">
        <v>43794.0</v>
      </c>
      <c r="S1362" s="1"/>
      <c r="T1362" s="1">
        <v>4208203.0</v>
      </c>
      <c r="U1362" s="1" t="s">
        <v>735</v>
      </c>
      <c r="V1362" s="1" t="s">
        <v>267</v>
      </c>
      <c r="W1362" s="1" t="s">
        <v>288</v>
      </c>
      <c r="X1362" s="1"/>
      <c r="Y1362" s="1" t="str">
        <f>"02610001910201975"</f>
        <v>02610001910201975</v>
      </c>
      <c r="Z1362" s="1" t="s">
        <v>60</v>
      </c>
      <c r="AA1362" s="1" t="s">
        <v>5231</v>
      </c>
      <c r="AB1362" s="1" t="str">
        <f t="shared" si="76"/>
        <v>***378639**</v>
      </c>
      <c r="AC1362" s="1"/>
      <c r="AD1362" s="1" t="s">
        <v>116</v>
      </c>
      <c r="AE1362" s="1"/>
      <c r="AF1362" s="1">
        <v>-48.668889</v>
      </c>
      <c r="AG1362" s="1">
        <v>-26.918333</v>
      </c>
      <c r="AH1362" s="1" t="s">
        <v>5732</v>
      </c>
      <c r="AI1362" s="1"/>
      <c r="AJ1362" s="1"/>
      <c r="AK1362" s="1"/>
      <c r="AL1362" s="1" t="s">
        <v>118</v>
      </c>
      <c r="AM1362" s="1"/>
      <c r="AN1362" s="1"/>
      <c r="AO1362" s="2">
        <v>44216.7671643519</v>
      </c>
      <c r="AP1362" s="2">
        <v>44216.7671643519</v>
      </c>
      <c r="AQ1362" s="1" t="s">
        <v>80</v>
      </c>
      <c r="AR1362" s="1" t="s">
        <v>5733</v>
      </c>
      <c r="AS1362" s="1"/>
      <c r="AT1362" s="2">
        <v>44269.931099537</v>
      </c>
    </row>
    <row r="1363" ht="13.5" customHeight="1">
      <c r="A1363" s="1">
        <v>2042795.0</v>
      </c>
      <c r="B1363" s="1" t="s">
        <v>67</v>
      </c>
      <c r="C1363" s="1" t="s">
        <v>68</v>
      </c>
      <c r="D1363" s="1" t="s">
        <v>46</v>
      </c>
      <c r="E1363" s="1" t="s">
        <v>5756</v>
      </c>
      <c r="F1363" s="1"/>
      <c r="G1363" s="1" t="s">
        <v>70</v>
      </c>
      <c r="H1363" s="1" t="s">
        <v>93</v>
      </c>
      <c r="I1363" s="1">
        <v>11700.0</v>
      </c>
      <c r="J1363" s="1"/>
      <c r="K1363" s="1"/>
      <c r="L1363" s="1" t="s">
        <v>264</v>
      </c>
      <c r="M1363" s="1" t="s">
        <v>5757</v>
      </c>
      <c r="N1363" s="1" t="s">
        <v>53</v>
      </c>
      <c r="O1363" s="1" t="s">
        <v>54</v>
      </c>
      <c r="P1363" s="2">
        <v>43782.4791666667</v>
      </c>
      <c r="Q1363" s="1" t="s">
        <v>373</v>
      </c>
      <c r="R1363" s="3">
        <v>43794.0</v>
      </c>
      <c r="S1363" s="1"/>
      <c r="T1363" s="1">
        <v>4208203.0</v>
      </c>
      <c r="U1363" s="1" t="s">
        <v>735</v>
      </c>
      <c r="V1363" s="1" t="s">
        <v>267</v>
      </c>
      <c r="W1363" s="1" t="s">
        <v>288</v>
      </c>
      <c r="X1363" s="1"/>
      <c r="Y1363" s="1" t="str">
        <f>"02610001909201941"</f>
        <v>02610001909201941</v>
      </c>
      <c r="Z1363" s="1" t="s">
        <v>60</v>
      </c>
      <c r="AA1363" s="1" t="s">
        <v>5231</v>
      </c>
      <c r="AB1363" s="1" t="str">
        <f t="shared" si="76"/>
        <v>***378639**</v>
      </c>
      <c r="AC1363" s="1"/>
      <c r="AD1363" s="1" t="s">
        <v>116</v>
      </c>
      <c r="AE1363" s="1"/>
      <c r="AF1363" s="1">
        <v>-48.668889</v>
      </c>
      <c r="AG1363" s="1">
        <v>-26.919444</v>
      </c>
      <c r="AH1363" s="1" t="s">
        <v>5758</v>
      </c>
      <c r="AI1363" s="1"/>
      <c r="AJ1363" s="1"/>
      <c r="AK1363" s="1"/>
      <c r="AL1363" s="1" t="s">
        <v>118</v>
      </c>
      <c r="AM1363" s="1"/>
      <c r="AN1363" s="1"/>
      <c r="AO1363" s="2">
        <v>44216.8354398148</v>
      </c>
      <c r="AP1363" s="2">
        <v>44216.8355555556</v>
      </c>
      <c r="AQ1363" s="1" t="s">
        <v>80</v>
      </c>
      <c r="AR1363" s="1" t="s">
        <v>5759</v>
      </c>
      <c r="AS1363" s="1"/>
      <c r="AT1363" s="2">
        <v>44269.931099537</v>
      </c>
    </row>
    <row r="1364" ht="13.5" customHeight="1">
      <c r="A1364" s="1">
        <v>2042774.0</v>
      </c>
      <c r="B1364" s="1" t="s">
        <v>67</v>
      </c>
      <c r="C1364" s="1" t="s">
        <v>68</v>
      </c>
      <c r="D1364" s="1" t="s">
        <v>46</v>
      </c>
      <c r="E1364" s="1" t="s">
        <v>5760</v>
      </c>
      <c r="F1364" s="1"/>
      <c r="G1364" s="1" t="s">
        <v>70</v>
      </c>
      <c r="H1364" s="1" t="s">
        <v>93</v>
      </c>
      <c r="I1364" s="1">
        <v>11700.0</v>
      </c>
      <c r="J1364" s="1"/>
      <c r="K1364" s="1"/>
      <c r="L1364" s="1" t="s">
        <v>264</v>
      </c>
      <c r="M1364" s="1" t="s">
        <v>5761</v>
      </c>
      <c r="N1364" s="1" t="s">
        <v>53</v>
      </c>
      <c r="O1364" s="1" t="s">
        <v>54</v>
      </c>
      <c r="P1364" s="2">
        <v>43782.4625</v>
      </c>
      <c r="Q1364" s="1" t="s">
        <v>74</v>
      </c>
      <c r="R1364" s="3">
        <v>43794.0</v>
      </c>
      <c r="S1364" s="1"/>
      <c r="T1364" s="1">
        <v>4208203.0</v>
      </c>
      <c r="U1364" s="1" t="s">
        <v>735</v>
      </c>
      <c r="V1364" s="1" t="s">
        <v>267</v>
      </c>
      <c r="W1364" s="1" t="s">
        <v>288</v>
      </c>
      <c r="X1364" s="1"/>
      <c r="Y1364" s="1" t="str">
        <f>"02610001908201904"</f>
        <v>02610001908201904</v>
      </c>
      <c r="Z1364" s="1" t="s">
        <v>60</v>
      </c>
      <c r="AA1364" s="1" t="s">
        <v>5231</v>
      </c>
      <c r="AB1364" s="1" t="str">
        <f t="shared" si="76"/>
        <v>***378639**</v>
      </c>
      <c r="AC1364" s="1"/>
      <c r="AD1364" s="1" t="s">
        <v>116</v>
      </c>
      <c r="AE1364" s="1"/>
      <c r="AF1364" s="1">
        <v>-48.671389</v>
      </c>
      <c r="AG1364" s="1">
        <v>-26.919444</v>
      </c>
      <c r="AH1364" s="1" t="s">
        <v>5232</v>
      </c>
      <c r="AI1364" s="1"/>
      <c r="AJ1364" s="1"/>
      <c r="AK1364" s="1"/>
      <c r="AL1364" s="1" t="s">
        <v>118</v>
      </c>
      <c r="AM1364" s="1"/>
      <c r="AN1364" s="1"/>
      <c r="AO1364" s="2">
        <v>44216.7772453704</v>
      </c>
      <c r="AP1364" s="2">
        <v>44216.7772453704</v>
      </c>
      <c r="AQ1364" s="1" t="s">
        <v>80</v>
      </c>
      <c r="AR1364" s="1" t="s">
        <v>5290</v>
      </c>
      <c r="AS1364" s="1"/>
      <c r="AT1364" s="2">
        <v>44269.931099537</v>
      </c>
    </row>
    <row r="1365" ht="13.5" customHeight="1">
      <c r="A1365" s="1">
        <v>2041502.0</v>
      </c>
      <c r="B1365" s="1" t="s">
        <v>67</v>
      </c>
      <c r="C1365" s="1" t="s">
        <v>68</v>
      </c>
      <c r="D1365" s="1" t="s">
        <v>46</v>
      </c>
      <c r="E1365" s="1" t="s">
        <v>5762</v>
      </c>
      <c r="F1365" s="1"/>
      <c r="G1365" s="1" t="s">
        <v>70</v>
      </c>
      <c r="H1365" s="1" t="s">
        <v>93</v>
      </c>
      <c r="I1365" s="1">
        <v>140000.0</v>
      </c>
      <c r="J1365" s="1"/>
      <c r="K1365" s="1"/>
      <c r="L1365" s="1" t="s">
        <v>172</v>
      </c>
      <c r="M1365" s="1" t="s">
        <v>5763</v>
      </c>
      <c r="N1365" s="1" t="s">
        <v>142</v>
      </c>
      <c r="O1365" s="1" t="s">
        <v>143</v>
      </c>
      <c r="P1365" s="2">
        <v>43782.4583333333</v>
      </c>
      <c r="Q1365" s="1" t="s">
        <v>74</v>
      </c>
      <c r="R1365" s="3">
        <v>43781.0</v>
      </c>
      <c r="S1365" s="1"/>
      <c r="T1365" s="1">
        <v>5103056.0</v>
      </c>
      <c r="U1365" s="1" t="s">
        <v>1877</v>
      </c>
      <c r="V1365" s="1" t="s">
        <v>164</v>
      </c>
      <c r="W1365" s="1" t="s">
        <v>177</v>
      </c>
      <c r="X1365" s="1"/>
      <c r="Y1365" s="1" t="str">
        <f>"02001004969202027"</f>
        <v>02001004969202027</v>
      </c>
      <c r="Z1365" s="1" t="s">
        <v>147</v>
      </c>
      <c r="AA1365" s="1" t="s">
        <v>5764</v>
      </c>
      <c r="AB1365" s="1" t="str">
        <f>"***215631**"</f>
        <v>***215631**</v>
      </c>
      <c r="AC1365" s="1"/>
      <c r="AD1365" s="1"/>
      <c r="AE1365" s="1"/>
      <c r="AF1365" s="1">
        <v>-55.265835</v>
      </c>
      <c r="AG1365" s="1">
        <v>-11.4425</v>
      </c>
      <c r="AH1365" s="1" t="s">
        <v>5765</v>
      </c>
      <c r="AI1365" s="1"/>
      <c r="AJ1365" s="1" t="s">
        <v>172</v>
      </c>
      <c r="AK1365" s="1"/>
      <c r="AL1365" s="1" t="s">
        <v>79</v>
      </c>
      <c r="AM1365" s="1" t="s">
        <v>65</v>
      </c>
      <c r="AN1365" s="1" t="s">
        <v>180</v>
      </c>
      <c r="AO1365" s="2">
        <v>44167.0</v>
      </c>
      <c r="AP1365" s="2">
        <v>44167.5170601852</v>
      </c>
      <c r="AQ1365" s="1" t="s">
        <v>80</v>
      </c>
      <c r="AR1365" s="1" t="s">
        <v>5237</v>
      </c>
      <c r="AS1365" s="1" t="s">
        <v>5766</v>
      </c>
      <c r="AT1365" s="2">
        <v>44269.931099537</v>
      </c>
    </row>
    <row r="1366" ht="13.5" customHeight="1">
      <c r="A1366" s="1">
        <v>2042794.0</v>
      </c>
      <c r="B1366" s="1" t="s">
        <v>67</v>
      </c>
      <c r="C1366" s="1" t="s">
        <v>68</v>
      </c>
      <c r="D1366" s="1" t="s">
        <v>46</v>
      </c>
      <c r="E1366" s="1" t="s">
        <v>5767</v>
      </c>
      <c r="F1366" s="1"/>
      <c r="G1366" s="1" t="s">
        <v>70</v>
      </c>
      <c r="H1366" s="1" t="s">
        <v>93</v>
      </c>
      <c r="I1366" s="1">
        <v>11700.0</v>
      </c>
      <c r="J1366" s="1"/>
      <c r="K1366" s="1"/>
      <c r="L1366" s="1" t="s">
        <v>264</v>
      </c>
      <c r="M1366" s="1" t="s">
        <v>5768</v>
      </c>
      <c r="N1366" s="1" t="s">
        <v>53</v>
      </c>
      <c r="O1366" s="1" t="s">
        <v>54</v>
      </c>
      <c r="P1366" s="2">
        <v>43782.4527777778</v>
      </c>
      <c r="Q1366" s="1" t="s">
        <v>74</v>
      </c>
      <c r="R1366" s="3">
        <v>43794.0</v>
      </c>
      <c r="S1366" s="1"/>
      <c r="T1366" s="1">
        <v>4208203.0</v>
      </c>
      <c r="U1366" s="1" t="s">
        <v>735</v>
      </c>
      <c r="V1366" s="1" t="s">
        <v>267</v>
      </c>
      <c r="W1366" s="1" t="s">
        <v>288</v>
      </c>
      <c r="X1366" s="1"/>
      <c r="Y1366" s="1" t="str">
        <f>"02610001906201915"</f>
        <v>02610001906201915</v>
      </c>
      <c r="Z1366" s="1" t="s">
        <v>60</v>
      </c>
      <c r="AA1366" s="1" t="s">
        <v>5231</v>
      </c>
      <c r="AB1366" s="1" t="str">
        <f t="shared" ref="AB1366:AB1368" si="77">"***378639**"</f>
        <v>***378639**</v>
      </c>
      <c r="AC1366" s="1"/>
      <c r="AD1366" s="1" t="s">
        <v>116</v>
      </c>
      <c r="AE1366" s="1"/>
      <c r="AF1366" s="1">
        <v>-48.671389</v>
      </c>
      <c r="AG1366" s="1">
        <v>-26.919444</v>
      </c>
      <c r="AH1366" s="1" t="s">
        <v>5758</v>
      </c>
      <c r="AI1366" s="1"/>
      <c r="AJ1366" s="1"/>
      <c r="AK1366" s="1"/>
      <c r="AL1366" s="1" t="s">
        <v>118</v>
      </c>
      <c r="AM1366" s="1"/>
      <c r="AN1366" s="1"/>
      <c r="AO1366" s="2">
        <v>44216.8325810185</v>
      </c>
      <c r="AP1366" s="2">
        <v>44216.8325810185</v>
      </c>
      <c r="AQ1366" s="1" t="s">
        <v>80</v>
      </c>
      <c r="AR1366" s="1" t="s">
        <v>5759</v>
      </c>
      <c r="AS1366" s="1"/>
      <c r="AT1366" s="2">
        <v>44269.931099537</v>
      </c>
    </row>
    <row r="1367" ht="13.5" customHeight="1">
      <c r="A1367" s="1">
        <v>2042793.0</v>
      </c>
      <c r="B1367" s="1" t="s">
        <v>67</v>
      </c>
      <c r="C1367" s="1" t="s">
        <v>68</v>
      </c>
      <c r="D1367" s="1" t="s">
        <v>46</v>
      </c>
      <c r="E1367" s="1" t="s">
        <v>5769</v>
      </c>
      <c r="F1367" s="1"/>
      <c r="G1367" s="1" t="s">
        <v>70</v>
      </c>
      <c r="H1367" s="1" t="s">
        <v>93</v>
      </c>
      <c r="I1367" s="1">
        <v>11700.0</v>
      </c>
      <c r="J1367" s="1"/>
      <c r="K1367" s="1"/>
      <c r="L1367" s="1" t="s">
        <v>264</v>
      </c>
      <c r="M1367" s="1" t="s">
        <v>5770</v>
      </c>
      <c r="N1367" s="1" t="s">
        <v>53</v>
      </c>
      <c r="O1367" s="1" t="s">
        <v>54</v>
      </c>
      <c r="P1367" s="2">
        <v>43782.4340277778</v>
      </c>
      <c r="Q1367" s="1" t="s">
        <v>373</v>
      </c>
      <c r="R1367" s="3">
        <v>43794.0</v>
      </c>
      <c r="S1367" s="1"/>
      <c r="T1367" s="1">
        <v>4208203.0</v>
      </c>
      <c r="U1367" s="1" t="s">
        <v>735</v>
      </c>
      <c r="V1367" s="1" t="s">
        <v>267</v>
      </c>
      <c r="W1367" s="1" t="s">
        <v>288</v>
      </c>
      <c r="X1367" s="1"/>
      <c r="Y1367" s="1" t="str">
        <f>"02610001905201962"</f>
        <v>02610001905201962</v>
      </c>
      <c r="Z1367" s="1" t="s">
        <v>60</v>
      </c>
      <c r="AA1367" s="1" t="s">
        <v>5231</v>
      </c>
      <c r="AB1367" s="1" t="str">
        <f t="shared" si="77"/>
        <v>***378639**</v>
      </c>
      <c r="AC1367" s="1"/>
      <c r="AD1367" s="1" t="s">
        <v>116</v>
      </c>
      <c r="AE1367" s="1"/>
      <c r="AF1367" s="1">
        <v>-48.671389</v>
      </c>
      <c r="AG1367" s="1">
        <v>-26.919444</v>
      </c>
      <c r="AH1367" s="1" t="s">
        <v>5758</v>
      </c>
      <c r="AI1367" s="1"/>
      <c r="AJ1367" s="1"/>
      <c r="AK1367" s="1"/>
      <c r="AL1367" s="1" t="s">
        <v>118</v>
      </c>
      <c r="AM1367" s="1"/>
      <c r="AN1367" s="1"/>
      <c r="AO1367" s="2">
        <v>44216.8290393519</v>
      </c>
      <c r="AP1367" s="2">
        <v>44216.8290393519</v>
      </c>
      <c r="AQ1367" s="1" t="s">
        <v>80</v>
      </c>
      <c r="AR1367" s="1" t="s">
        <v>5759</v>
      </c>
      <c r="AS1367" s="1"/>
      <c r="AT1367" s="2">
        <v>44269.931099537</v>
      </c>
    </row>
    <row r="1368" ht="13.5" customHeight="1">
      <c r="A1368" s="1">
        <v>2042759.0</v>
      </c>
      <c r="B1368" s="1" t="s">
        <v>67</v>
      </c>
      <c r="C1368" s="1" t="s">
        <v>68</v>
      </c>
      <c r="D1368" s="1" t="s">
        <v>46</v>
      </c>
      <c r="E1368" s="1" t="s">
        <v>5771</v>
      </c>
      <c r="F1368" s="1"/>
      <c r="G1368" s="1" t="s">
        <v>70</v>
      </c>
      <c r="H1368" s="1" t="s">
        <v>93</v>
      </c>
      <c r="I1368" s="1">
        <v>11700.0</v>
      </c>
      <c r="J1368" s="1"/>
      <c r="K1368" s="1"/>
      <c r="L1368" s="1" t="s">
        <v>264</v>
      </c>
      <c r="M1368" s="1" t="s">
        <v>5772</v>
      </c>
      <c r="N1368" s="1" t="s">
        <v>53</v>
      </c>
      <c r="O1368" s="1" t="s">
        <v>54</v>
      </c>
      <c r="P1368" s="2">
        <v>43782.4277777778</v>
      </c>
      <c r="Q1368" s="1" t="s">
        <v>74</v>
      </c>
      <c r="R1368" s="3">
        <v>43794.0</v>
      </c>
      <c r="S1368" s="1"/>
      <c r="T1368" s="1">
        <v>4208203.0</v>
      </c>
      <c r="U1368" s="1" t="s">
        <v>735</v>
      </c>
      <c r="V1368" s="1" t="s">
        <v>267</v>
      </c>
      <c r="W1368" s="1" t="s">
        <v>288</v>
      </c>
      <c r="X1368" s="1"/>
      <c r="Y1368" s="1" t="str">
        <f>"02610001904201918"</f>
        <v>02610001904201918</v>
      </c>
      <c r="Z1368" s="1" t="s">
        <v>60</v>
      </c>
      <c r="AA1368" s="1" t="s">
        <v>5231</v>
      </c>
      <c r="AB1368" s="1" t="str">
        <f t="shared" si="77"/>
        <v>***378639**</v>
      </c>
      <c r="AC1368" s="1"/>
      <c r="AD1368" s="1" t="s">
        <v>116</v>
      </c>
      <c r="AE1368" s="1"/>
      <c r="AF1368" s="1">
        <v>-48.671389</v>
      </c>
      <c r="AG1368" s="1">
        <v>-26.919444</v>
      </c>
      <c r="AH1368" s="1" t="s">
        <v>5301</v>
      </c>
      <c r="AI1368" s="1"/>
      <c r="AJ1368" s="1"/>
      <c r="AK1368" s="1"/>
      <c r="AL1368" s="1" t="s">
        <v>118</v>
      </c>
      <c r="AM1368" s="1"/>
      <c r="AN1368" s="1"/>
      <c r="AO1368" s="2">
        <v>44216.7239930556</v>
      </c>
      <c r="AP1368" s="2">
        <v>44216.7239930556</v>
      </c>
      <c r="AQ1368" s="1" t="s">
        <v>80</v>
      </c>
      <c r="AR1368" s="1" t="s">
        <v>5660</v>
      </c>
      <c r="AS1368" s="1"/>
      <c r="AT1368" s="2">
        <v>44269.931099537</v>
      </c>
    </row>
    <row r="1369" ht="13.5" customHeight="1">
      <c r="A1369" s="1">
        <v>2035995.0</v>
      </c>
      <c r="B1369" s="1" t="s">
        <v>67</v>
      </c>
      <c r="C1369" s="1" t="s">
        <v>68</v>
      </c>
      <c r="D1369" s="1" t="s">
        <v>46</v>
      </c>
      <c r="E1369" s="1" t="s">
        <v>5773</v>
      </c>
      <c r="F1369" s="1"/>
      <c r="G1369" s="1" t="s">
        <v>70</v>
      </c>
      <c r="H1369" s="1" t="s">
        <v>93</v>
      </c>
      <c r="I1369" s="1">
        <v>5719295.0</v>
      </c>
      <c r="J1369" s="1"/>
      <c r="K1369" s="1"/>
      <c r="L1369" s="1" t="s">
        <v>172</v>
      </c>
      <c r="M1369" s="1" t="s">
        <v>5774</v>
      </c>
      <c r="N1369" s="1" t="s">
        <v>142</v>
      </c>
      <c r="O1369" s="1" t="s">
        <v>143</v>
      </c>
      <c r="P1369" s="2">
        <v>43782.4166666667</v>
      </c>
      <c r="Q1369" s="1" t="s">
        <v>74</v>
      </c>
      <c r="R1369" s="3">
        <v>43922.0</v>
      </c>
      <c r="S1369" s="1"/>
      <c r="T1369" s="1">
        <v>1300706.0</v>
      </c>
      <c r="U1369" s="1" t="s">
        <v>2161</v>
      </c>
      <c r="V1369" s="1" t="s">
        <v>486</v>
      </c>
      <c r="W1369" s="1" t="s">
        <v>177</v>
      </c>
      <c r="X1369" s="1"/>
      <c r="Y1369" s="1" t="str">
        <f>"02001009366202011"</f>
        <v>02001009366202011</v>
      </c>
      <c r="Z1369" s="1" t="s">
        <v>147</v>
      </c>
      <c r="AA1369" s="1" t="s">
        <v>5775</v>
      </c>
      <c r="AB1369" s="1" t="str">
        <f>"***110431**"</f>
        <v>***110431**</v>
      </c>
      <c r="AC1369" s="1"/>
      <c r="AD1369" s="1"/>
      <c r="AE1369" s="1"/>
      <c r="AF1369" s="1">
        <v>-67.663055</v>
      </c>
      <c r="AG1369" s="1">
        <v>-9.3625</v>
      </c>
      <c r="AH1369" s="1" t="s">
        <v>5776</v>
      </c>
      <c r="AI1369" s="1"/>
      <c r="AJ1369" s="1" t="s">
        <v>172</v>
      </c>
      <c r="AK1369" s="1"/>
      <c r="AL1369" s="1" t="s">
        <v>79</v>
      </c>
      <c r="AM1369" s="1" t="s">
        <v>65</v>
      </c>
      <c r="AN1369" s="1" t="s">
        <v>2164</v>
      </c>
      <c r="AO1369" s="2">
        <v>43923.0</v>
      </c>
      <c r="AP1369" s="2">
        <v>43923.7065046296</v>
      </c>
      <c r="AQ1369" s="1" t="s">
        <v>80</v>
      </c>
      <c r="AR1369" s="1" t="s">
        <v>650</v>
      </c>
      <c r="AS1369" s="1" t="s">
        <v>4933</v>
      </c>
      <c r="AT1369" s="2">
        <v>44269.931099537</v>
      </c>
    </row>
    <row r="1370" ht="13.5" customHeight="1">
      <c r="A1370" s="1">
        <v>2042792.0</v>
      </c>
      <c r="B1370" s="1" t="s">
        <v>67</v>
      </c>
      <c r="C1370" s="1" t="s">
        <v>68</v>
      </c>
      <c r="D1370" s="1" t="s">
        <v>46</v>
      </c>
      <c r="E1370" s="1" t="s">
        <v>5777</v>
      </c>
      <c r="F1370" s="1"/>
      <c r="G1370" s="1" t="s">
        <v>70</v>
      </c>
      <c r="H1370" s="1" t="s">
        <v>93</v>
      </c>
      <c r="I1370" s="1">
        <v>11700.0</v>
      </c>
      <c r="J1370" s="1"/>
      <c r="K1370" s="1"/>
      <c r="L1370" s="1" t="s">
        <v>264</v>
      </c>
      <c r="M1370" s="1" t="s">
        <v>5778</v>
      </c>
      <c r="N1370" s="1" t="s">
        <v>53</v>
      </c>
      <c r="O1370" s="1" t="s">
        <v>54</v>
      </c>
      <c r="P1370" s="2">
        <v>43782.4076388889</v>
      </c>
      <c r="Q1370" s="1" t="s">
        <v>74</v>
      </c>
      <c r="R1370" s="3">
        <v>43794.0</v>
      </c>
      <c r="S1370" s="1"/>
      <c r="T1370" s="1">
        <v>4208203.0</v>
      </c>
      <c r="U1370" s="1" t="s">
        <v>735</v>
      </c>
      <c r="V1370" s="1" t="s">
        <v>267</v>
      </c>
      <c r="W1370" s="1" t="s">
        <v>288</v>
      </c>
      <c r="X1370" s="1"/>
      <c r="Y1370" s="1" t="str">
        <f>"02610001903201973"</f>
        <v>02610001903201973</v>
      </c>
      <c r="Z1370" s="1" t="s">
        <v>60</v>
      </c>
      <c r="AA1370" s="1" t="s">
        <v>5231</v>
      </c>
      <c r="AB1370" s="1" t="str">
        <f t="shared" ref="AB1370:AB1373" si="78">"***378639**"</f>
        <v>***378639**</v>
      </c>
      <c r="AC1370" s="1"/>
      <c r="AD1370" s="1" t="s">
        <v>116</v>
      </c>
      <c r="AE1370" s="1"/>
      <c r="AF1370" s="1">
        <v>-48.671389</v>
      </c>
      <c r="AG1370" s="1">
        <v>-26.919444</v>
      </c>
      <c r="AH1370" s="1" t="s">
        <v>5758</v>
      </c>
      <c r="AI1370" s="1"/>
      <c r="AJ1370" s="1"/>
      <c r="AK1370" s="1"/>
      <c r="AL1370" s="1" t="s">
        <v>118</v>
      </c>
      <c r="AM1370" s="1"/>
      <c r="AN1370" s="1"/>
      <c r="AO1370" s="2">
        <v>44216.8256134259</v>
      </c>
      <c r="AP1370" s="2">
        <v>44216.8256134259</v>
      </c>
      <c r="AQ1370" s="1" t="s">
        <v>80</v>
      </c>
      <c r="AR1370" s="1" t="s">
        <v>5759</v>
      </c>
      <c r="AS1370" s="1"/>
      <c r="AT1370" s="2">
        <v>44269.931099537</v>
      </c>
    </row>
    <row r="1371" ht="13.5" customHeight="1">
      <c r="A1371" s="1">
        <v>2042768.0</v>
      </c>
      <c r="B1371" s="1" t="s">
        <v>67</v>
      </c>
      <c r="C1371" s="1" t="s">
        <v>68</v>
      </c>
      <c r="D1371" s="1" t="s">
        <v>46</v>
      </c>
      <c r="E1371" s="1" t="s">
        <v>5779</v>
      </c>
      <c r="F1371" s="1"/>
      <c r="G1371" s="1" t="s">
        <v>70</v>
      </c>
      <c r="H1371" s="1" t="s">
        <v>93</v>
      </c>
      <c r="I1371" s="1">
        <v>11700.0</v>
      </c>
      <c r="J1371" s="1"/>
      <c r="K1371" s="1"/>
      <c r="L1371" s="1" t="s">
        <v>264</v>
      </c>
      <c r="M1371" s="1" t="s">
        <v>5780</v>
      </c>
      <c r="N1371" s="1" t="s">
        <v>53</v>
      </c>
      <c r="O1371" s="1" t="s">
        <v>54</v>
      </c>
      <c r="P1371" s="2">
        <v>43782.4027777778</v>
      </c>
      <c r="Q1371" s="1" t="s">
        <v>74</v>
      </c>
      <c r="R1371" s="3">
        <v>43794.0</v>
      </c>
      <c r="S1371" s="1"/>
      <c r="T1371" s="1">
        <v>4208203.0</v>
      </c>
      <c r="U1371" s="1" t="s">
        <v>735</v>
      </c>
      <c r="V1371" s="1" t="s">
        <v>267</v>
      </c>
      <c r="W1371" s="1" t="s">
        <v>288</v>
      </c>
      <c r="X1371" s="1"/>
      <c r="Y1371" s="1" t="str">
        <f>"02610001902201929"</f>
        <v>02610001902201929</v>
      </c>
      <c r="Z1371" s="1" t="s">
        <v>60</v>
      </c>
      <c r="AA1371" s="1" t="s">
        <v>5231</v>
      </c>
      <c r="AB1371" s="1" t="str">
        <f t="shared" si="78"/>
        <v>***378639**</v>
      </c>
      <c r="AC1371" s="1"/>
      <c r="AD1371" s="1" t="s">
        <v>116</v>
      </c>
      <c r="AE1371" s="1"/>
      <c r="AF1371" s="1">
        <v>-48.671389</v>
      </c>
      <c r="AG1371" s="1">
        <v>-26.919444</v>
      </c>
      <c r="AH1371" s="1" t="s">
        <v>5232</v>
      </c>
      <c r="AI1371" s="1"/>
      <c r="AJ1371" s="1"/>
      <c r="AK1371" s="1"/>
      <c r="AL1371" s="1" t="s">
        <v>118</v>
      </c>
      <c r="AM1371" s="1"/>
      <c r="AN1371" s="1"/>
      <c r="AO1371" s="2">
        <v>44216.7645023148</v>
      </c>
      <c r="AP1371" s="2">
        <v>44216.7646875</v>
      </c>
      <c r="AQ1371" s="1" t="s">
        <v>80</v>
      </c>
      <c r="AR1371" s="1" t="s">
        <v>5290</v>
      </c>
      <c r="AS1371" s="1"/>
      <c r="AT1371" s="2">
        <v>44269.931099537</v>
      </c>
    </row>
    <row r="1372" ht="13.5" customHeight="1">
      <c r="A1372" s="1">
        <v>2042766.0</v>
      </c>
      <c r="B1372" s="1" t="s">
        <v>67</v>
      </c>
      <c r="C1372" s="1" t="s">
        <v>68</v>
      </c>
      <c r="D1372" s="1" t="s">
        <v>46</v>
      </c>
      <c r="E1372" s="1" t="s">
        <v>5781</v>
      </c>
      <c r="F1372" s="1"/>
      <c r="G1372" s="1" t="s">
        <v>70</v>
      </c>
      <c r="H1372" s="1" t="s">
        <v>93</v>
      </c>
      <c r="I1372" s="1">
        <v>11700.0</v>
      </c>
      <c r="J1372" s="1"/>
      <c r="K1372" s="1"/>
      <c r="L1372" s="1" t="s">
        <v>264</v>
      </c>
      <c r="M1372" s="1" t="s">
        <v>5782</v>
      </c>
      <c r="N1372" s="1" t="s">
        <v>53</v>
      </c>
      <c r="O1372" s="1" t="s">
        <v>54</v>
      </c>
      <c r="P1372" s="2">
        <v>43782.3986111111</v>
      </c>
      <c r="Q1372" s="1" t="s">
        <v>74</v>
      </c>
      <c r="R1372" s="3">
        <v>43794.0</v>
      </c>
      <c r="S1372" s="1"/>
      <c r="T1372" s="1">
        <v>4208203.0</v>
      </c>
      <c r="U1372" s="1" t="s">
        <v>735</v>
      </c>
      <c r="V1372" s="1" t="s">
        <v>267</v>
      </c>
      <c r="W1372" s="1" t="s">
        <v>288</v>
      </c>
      <c r="X1372" s="1"/>
      <c r="Y1372" s="1" t="str">
        <f>"02610001901201984"</f>
        <v>02610001901201984</v>
      </c>
      <c r="Z1372" s="1" t="s">
        <v>60</v>
      </c>
      <c r="AA1372" s="1" t="s">
        <v>5231</v>
      </c>
      <c r="AB1372" s="1" t="str">
        <f t="shared" si="78"/>
        <v>***378639**</v>
      </c>
      <c r="AC1372" s="1"/>
      <c r="AD1372" s="1" t="s">
        <v>116</v>
      </c>
      <c r="AE1372" s="1"/>
      <c r="AF1372" s="1">
        <v>-48.671389</v>
      </c>
      <c r="AG1372" s="1">
        <v>-26.919444</v>
      </c>
      <c r="AH1372" s="1" t="s">
        <v>5232</v>
      </c>
      <c r="AI1372" s="1"/>
      <c r="AJ1372" s="1"/>
      <c r="AK1372" s="1"/>
      <c r="AL1372" s="1" t="s">
        <v>118</v>
      </c>
      <c r="AM1372" s="1"/>
      <c r="AN1372" s="1"/>
      <c r="AO1372" s="2">
        <v>44216.7599189815</v>
      </c>
      <c r="AP1372" s="2">
        <v>44216.7599189815</v>
      </c>
      <c r="AQ1372" s="1" t="s">
        <v>80</v>
      </c>
      <c r="AR1372" s="1" t="s">
        <v>5290</v>
      </c>
      <c r="AS1372" s="1"/>
      <c r="AT1372" s="2">
        <v>44269.931099537</v>
      </c>
    </row>
    <row r="1373" ht="13.5" customHeight="1">
      <c r="A1373" s="1">
        <v>2042791.0</v>
      </c>
      <c r="B1373" s="1" t="s">
        <v>67</v>
      </c>
      <c r="C1373" s="1" t="s">
        <v>68</v>
      </c>
      <c r="D1373" s="1" t="s">
        <v>46</v>
      </c>
      <c r="E1373" s="1" t="s">
        <v>5783</v>
      </c>
      <c r="F1373" s="1"/>
      <c r="G1373" s="1" t="s">
        <v>70</v>
      </c>
      <c r="H1373" s="1" t="s">
        <v>93</v>
      </c>
      <c r="I1373" s="1">
        <v>11700.0</v>
      </c>
      <c r="J1373" s="1"/>
      <c r="K1373" s="1"/>
      <c r="L1373" s="1" t="s">
        <v>264</v>
      </c>
      <c r="M1373" s="1" t="s">
        <v>5784</v>
      </c>
      <c r="N1373" s="1" t="s">
        <v>53</v>
      </c>
      <c r="O1373" s="1" t="s">
        <v>54</v>
      </c>
      <c r="P1373" s="2">
        <v>43782.3930555556</v>
      </c>
      <c r="Q1373" s="1" t="s">
        <v>74</v>
      </c>
      <c r="R1373" s="3">
        <v>43794.0</v>
      </c>
      <c r="S1373" s="1"/>
      <c r="T1373" s="1">
        <v>4208203.0</v>
      </c>
      <c r="U1373" s="1" t="s">
        <v>735</v>
      </c>
      <c r="V1373" s="1" t="s">
        <v>267</v>
      </c>
      <c r="W1373" s="1" t="s">
        <v>288</v>
      </c>
      <c r="X1373" s="1"/>
      <c r="Y1373" s="1" t="str">
        <f>"02610001900201930"</f>
        <v>02610001900201930</v>
      </c>
      <c r="Z1373" s="1" t="s">
        <v>60</v>
      </c>
      <c r="AA1373" s="1" t="s">
        <v>5231</v>
      </c>
      <c r="AB1373" s="1" t="str">
        <f t="shared" si="78"/>
        <v>***378639**</v>
      </c>
      <c r="AC1373" s="1"/>
      <c r="AD1373" s="1" t="s">
        <v>116</v>
      </c>
      <c r="AE1373" s="1"/>
      <c r="AF1373" s="1">
        <v>-48.671389</v>
      </c>
      <c r="AG1373" s="1">
        <v>-26.919444</v>
      </c>
      <c r="AH1373" s="1" t="s">
        <v>5758</v>
      </c>
      <c r="AI1373" s="1"/>
      <c r="AJ1373" s="1"/>
      <c r="AK1373" s="1"/>
      <c r="AL1373" s="1" t="s">
        <v>118</v>
      </c>
      <c r="AM1373" s="1"/>
      <c r="AN1373" s="1"/>
      <c r="AO1373" s="2">
        <v>44216.8213888889</v>
      </c>
      <c r="AP1373" s="2">
        <v>44216.8213888889</v>
      </c>
      <c r="AQ1373" s="1" t="s">
        <v>80</v>
      </c>
      <c r="AR1373" s="1" t="s">
        <v>5759</v>
      </c>
      <c r="AS1373" s="1"/>
      <c r="AT1373" s="2">
        <v>44269.931099537</v>
      </c>
    </row>
    <row r="1374" ht="13.5" customHeight="1">
      <c r="A1374" s="1">
        <v>2034815.0</v>
      </c>
      <c r="B1374" s="1" t="s">
        <v>67</v>
      </c>
      <c r="C1374" s="1" t="s">
        <v>68</v>
      </c>
      <c r="D1374" s="1" t="s">
        <v>46</v>
      </c>
      <c r="E1374" s="1" t="s">
        <v>5785</v>
      </c>
      <c r="F1374" s="1"/>
      <c r="G1374" s="1" t="s">
        <v>70</v>
      </c>
      <c r="H1374" s="1" t="s">
        <v>93</v>
      </c>
      <c r="I1374" s="1">
        <v>29960.28</v>
      </c>
      <c r="J1374" s="1"/>
      <c r="K1374" s="1"/>
      <c r="L1374" s="1" t="s">
        <v>386</v>
      </c>
      <c r="M1374" s="1" t="s">
        <v>5786</v>
      </c>
      <c r="N1374" s="1" t="s">
        <v>142</v>
      </c>
      <c r="O1374" s="1" t="s">
        <v>143</v>
      </c>
      <c r="P1374" s="2">
        <v>43782.375</v>
      </c>
      <c r="Q1374" s="1" t="s">
        <v>74</v>
      </c>
      <c r="R1374" s="3">
        <v>43766.0</v>
      </c>
      <c r="S1374" s="1"/>
      <c r="T1374" s="1">
        <v>1700301.0</v>
      </c>
      <c r="U1374" s="1" t="s">
        <v>5787</v>
      </c>
      <c r="V1374" s="1" t="s">
        <v>2156</v>
      </c>
      <c r="W1374" s="1" t="s">
        <v>177</v>
      </c>
      <c r="X1374" s="1"/>
      <c r="Y1374" s="1" t="str">
        <f>"02029001459201956"</f>
        <v>02029001459201956</v>
      </c>
      <c r="Z1374" s="1" t="s">
        <v>147</v>
      </c>
      <c r="AA1374" s="1" t="s">
        <v>5788</v>
      </c>
      <c r="AB1374" s="1" t="str">
        <f>"32042585000441"</f>
        <v>32042585000441</v>
      </c>
      <c r="AC1374" s="1"/>
      <c r="AD1374" s="1"/>
      <c r="AE1374" s="1"/>
      <c r="AF1374" s="1">
        <v>-45.47361</v>
      </c>
      <c r="AG1374" s="1">
        <v>-6.56</v>
      </c>
      <c r="AH1374" s="1" t="s">
        <v>5789</v>
      </c>
      <c r="AI1374" s="1"/>
      <c r="AJ1374" s="1" t="s">
        <v>386</v>
      </c>
      <c r="AK1374" s="1"/>
      <c r="AL1374" s="1" t="s">
        <v>79</v>
      </c>
      <c r="AM1374" s="1" t="s">
        <v>65</v>
      </c>
      <c r="AN1374" s="1" t="s">
        <v>391</v>
      </c>
      <c r="AO1374" s="2">
        <v>43892.0</v>
      </c>
      <c r="AP1374" s="2">
        <v>43892.4290393519</v>
      </c>
      <c r="AQ1374" s="1" t="s">
        <v>80</v>
      </c>
      <c r="AR1374" s="1" t="s">
        <v>181</v>
      </c>
      <c r="AS1374" s="1"/>
      <c r="AT1374" s="2">
        <v>44269.931099537</v>
      </c>
    </row>
    <row r="1375" ht="13.5" customHeight="1">
      <c r="A1375" s="1">
        <v>2041017.0</v>
      </c>
      <c r="B1375" s="1" t="s">
        <v>67</v>
      </c>
      <c r="C1375" s="1" t="s">
        <v>68</v>
      </c>
      <c r="D1375" s="1" t="s">
        <v>46</v>
      </c>
      <c r="E1375" s="1" t="s">
        <v>5790</v>
      </c>
      <c r="F1375" s="1"/>
      <c r="G1375" s="1" t="s">
        <v>70</v>
      </c>
      <c r="H1375" s="1" t="s">
        <v>93</v>
      </c>
      <c r="I1375" s="1">
        <v>190000.0</v>
      </c>
      <c r="J1375" s="1"/>
      <c r="K1375" s="1"/>
      <c r="L1375" s="1" t="s">
        <v>172</v>
      </c>
      <c r="M1375" s="1" t="s">
        <v>5791</v>
      </c>
      <c r="N1375" s="1" t="s">
        <v>142</v>
      </c>
      <c r="O1375" s="1" t="s">
        <v>143</v>
      </c>
      <c r="P1375" s="2">
        <v>43782.2083333333</v>
      </c>
      <c r="Q1375" s="1" t="s">
        <v>373</v>
      </c>
      <c r="R1375" s="3">
        <v>43782.0</v>
      </c>
      <c r="S1375" s="1"/>
      <c r="T1375" s="1">
        <v>5103056.0</v>
      </c>
      <c r="U1375" s="1" t="s">
        <v>1877</v>
      </c>
      <c r="V1375" s="1" t="s">
        <v>164</v>
      </c>
      <c r="W1375" s="1" t="s">
        <v>177</v>
      </c>
      <c r="X1375" s="1"/>
      <c r="Y1375" s="1" t="str">
        <f>"02001004967202038"</f>
        <v>02001004967202038</v>
      </c>
      <c r="Z1375" s="1" t="s">
        <v>147</v>
      </c>
      <c r="AA1375" s="1" t="s">
        <v>5792</v>
      </c>
      <c r="AB1375" s="1" t="str">
        <f>"***384909**"</f>
        <v>***384909**</v>
      </c>
      <c r="AC1375" s="1"/>
      <c r="AD1375" s="1"/>
      <c r="AE1375" s="1"/>
      <c r="AF1375" s="1">
        <v>-55.31139</v>
      </c>
      <c r="AG1375" s="1">
        <v>-11.329444</v>
      </c>
      <c r="AH1375" s="1" t="s">
        <v>5793</v>
      </c>
      <c r="AI1375" s="1"/>
      <c r="AJ1375" s="1" t="s">
        <v>172</v>
      </c>
      <c r="AK1375" s="1"/>
      <c r="AL1375" s="1" t="s">
        <v>79</v>
      </c>
      <c r="AM1375" s="1" t="s">
        <v>65</v>
      </c>
      <c r="AN1375" s="1" t="s">
        <v>180</v>
      </c>
      <c r="AO1375" s="2">
        <v>44148.0</v>
      </c>
      <c r="AP1375" s="2">
        <v>44148.7378472222</v>
      </c>
      <c r="AQ1375" s="1" t="s">
        <v>80</v>
      </c>
      <c r="AR1375" s="1" t="s">
        <v>5794</v>
      </c>
      <c r="AS1375" s="1" t="s">
        <v>5795</v>
      </c>
      <c r="AT1375" s="2">
        <v>44269.931099537</v>
      </c>
    </row>
    <row r="1376" ht="13.5" customHeight="1">
      <c r="A1376" s="1">
        <v>2035575.0</v>
      </c>
      <c r="B1376" s="1" t="s">
        <v>67</v>
      </c>
      <c r="C1376" s="1" t="s">
        <v>68</v>
      </c>
      <c r="D1376" s="1" t="s">
        <v>46</v>
      </c>
      <c r="E1376" s="1" t="s">
        <v>5796</v>
      </c>
      <c r="F1376" s="1"/>
      <c r="G1376" s="1" t="s">
        <v>70</v>
      </c>
      <c r="H1376" s="1" t="s">
        <v>93</v>
      </c>
      <c r="I1376" s="1">
        <v>288015.0</v>
      </c>
      <c r="J1376" s="1"/>
      <c r="K1376" s="1"/>
      <c r="L1376" s="1" t="s">
        <v>358</v>
      </c>
      <c r="M1376" s="1" t="s">
        <v>5797</v>
      </c>
      <c r="N1376" s="1" t="s">
        <v>142</v>
      </c>
      <c r="O1376" s="1" t="s">
        <v>143</v>
      </c>
      <c r="P1376" s="2">
        <v>43782.0</v>
      </c>
      <c r="Q1376" s="1" t="s">
        <v>373</v>
      </c>
      <c r="R1376" s="3">
        <v>43782.0</v>
      </c>
      <c r="S1376" s="1"/>
      <c r="T1376" s="1">
        <v>4119301.0</v>
      </c>
      <c r="U1376" s="1" t="s">
        <v>5798</v>
      </c>
      <c r="V1376" s="1" t="s">
        <v>176</v>
      </c>
      <c r="W1376" s="1" t="s">
        <v>59</v>
      </c>
      <c r="X1376" s="1"/>
      <c r="Y1376" s="1" t="str">
        <f>"02017004590201912"</f>
        <v>02017004590201912</v>
      </c>
      <c r="Z1376" s="1" t="s">
        <v>147</v>
      </c>
      <c r="AA1376" s="1" t="s">
        <v>5799</v>
      </c>
      <c r="AB1376" s="1" t="str">
        <f>"***197249**"</f>
        <v>***197249**</v>
      </c>
      <c r="AC1376" s="1"/>
      <c r="AD1376" s="1"/>
      <c r="AE1376" s="1"/>
      <c r="AF1376" s="1">
        <v>-51.75</v>
      </c>
      <c r="AG1376" s="1">
        <v>-25.941387</v>
      </c>
      <c r="AH1376" s="1" t="s">
        <v>5800</v>
      </c>
      <c r="AI1376" s="1"/>
      <c r="AJ1376" s="1" t="s">
        <v>358</v>
      </c>
      <c r="AK1376" s="1"/>
      <c r="AL1376" s="1" t="s">
        <v>79</v>
      </c>
      <c r="AM1376" s="1" t="s">
        <v>65</v>
      </c>
      <c r="AN1376" s="1" t="s">
        <v>1696</v>
      </c>
      <c r="AO1376" s="2">
        <v>43909.0</v>
      </c>
      <c r="AP1376" s="2">
        <v>43909.4584259259</v>
      </c>
      <c r="AQ1376" s="1" t="s">
        <v>80</v>
      </c>
      <c r="AR1376" s="1" t="s">
        <v>5801</v>
      </c>
      <c r="AS1376" s="1" t="s">
        <v>5802</v>
      </c>
      <c r="AT1376" s="2">
        <v>44269.931099537</v>
      </c>
    </row>
    <row r="1377" ht="13.5" customHeight="1">
      <c r="A1377" s="1"/>
      <c r="B1377" s="1" t="s">
        <v>46</v>
      </c>
      <c r="C1377" s="1" t="s">
        <v>47</v>
      </c>
      <c r="D1377" s="1"/>
      <c r="E1377" s="1" t="s">
        <v>5803</v>
      </c>
      <c r="F1377" s="1"/>
      <c r="G1377" s="1"/>
      <c r="H1377" s="1" t="s">
        <v>50</v>
      </c>
      <c r="I1377" s="1">
        <v>300500.0</v>
      </c>
      <c r="J1377" s="1"/>
      <c r="K1377" s="1" t="s">
        <v>140</v>
      </c>
      <c r="L1377" s="1"/>
      <c r="M1377" s="1" t="s">
        <v>5804</v>
      </c>
      <c r="N1377" s="1" t="s">
        <v>72</v>
      </c>
      <c r="O1377" s="1" t="s">
        <v>1364</v>
      </c>
      <c r="P1377" s="2">
        <v>43781.9983217593</v>
      </c>
      <c r="Q1377" s="1" t="s">
        <v>373</v>
      </c>
      <c r="R1377" s="1"/>
      <c r="S1377" s="1"/>
      <c r="T1377" s="1">
        <v>1505031.0</v>
      </c>
      <c r="U1377" s="1" t="s">
        <v>5123</v>
      </c>
      <c r="V1377" s="1" t="s">
        <v>193</v>
      </c>
      <c r="W1377" s="1" t="s">
        <v>177</v>
      </c>
      <c r="X1377" s="1"/>
      <c r="Y1377" s="1"/>
      <c r="Z1377" s="1"/>
      <c r="AA1377" s="1" t="s">
        <v>5805</v>
      </c>
      <c r="AB1377" s="1" t="str">
        <f>"***574701**"</f>
        <v>***574701**</v>
      </c>
      <c r="AC1377" s="1"/>
      <c r="AD1377" s="1" t="s">
        <v>149</v>
      </c>
      <c r="AE1377" s="1"/>
      <c r="AF1377" s="1">
        <v>-55.098053</v>
      </c>
      <c r="AG1377" s="1">
        <v>-8.021944</v>
      </c>
      <c r="AH1377" s="1" t="s">
        <v>5806</v>
      </c>
      <c r="AI1377" s="1"/>
      <c r="AJ1377" s="1" t="s">
        <v>172</v>
      </c>
      <c r="AK1377" s="1"/>
      <c r="AL1377" s="1"/>
      <c r="AM1377" s="1" t="s">
        <v>65</v>
      </c>
      <c r="AN1377" s="1" t="s">
        <v>1395</v>
      </c>
      <c r="AO1377" s="1"/>
      <c r="AP1377" s="2">
        <v>43782.55125</v>
      </c>
      <c r="AQ1377" s="1"/>
      <c r="AR1377" s="1" t="s">
        <v>5577</v>
      </c>
      <c r="AS1377" s="1"/>
      <c r="AT1377" s="2">
        <v>44269.931099537</v>
      </c>
    </row>
    <row r="1378" ht="13.5" customHeight="1">
      <c r="A1378" s="1"/>
      <c r="B1378" s="1" t="s">
        <v>46</v>
      </c>
      <c r="C1378" s="1" t="s">
        <v>47</v>
      </c>
      <c r="D1378" s="1"/>
      <c r="E1378" s="1" t="s">
        <v>5807</v>
      </c>
      <c r="F1378" s="1"/>
      <c r="G1378" s="1" t="s">
        <v>49</v>
      </c>
      <c r="H1378" s="1" t="s">
        <v>93</v>
      </c>
      <c r="I1378" s="1">
        <v>50500.0</v>
      </c>
      <c r="J1378" s="1"/>
      <c r="K1378" s="1" t="s">
        <v>51</v>
      </c>
      <c r="L1378" s="1"/>
      <c r="M1378" s="1" t="s">
        <v>5808</v>
      </c>
      <c r="N1378" s="1" t="s">
        <v>977</v>
      </c>
      <c r="O1378" s="1" t="s">
        <v>978</v>
      </c>
      <c r="P1378" s="2">
        <v>43781.862349537</v>
      </c>
      <c r="Q1378" s="1" t="s">
        <v>74</v>
      </c>
      <c r="R1378" s="3">
        <v>43781.0</v>
      </c>
      <c r="S1378" s="1"/>
      <c r="T1378" s="1">
        <v>1400209.0</v>
      </c>
      <c r="U1378" s="1" t="s">
        <v>1162</v>
      </c>
      <c r="V1378" s="1" t="s">
        <v>186</v>
      </c>
      <c r="W1378" s="1" t="s">
        <v>177</v>
      </c>
      <c r="X1378" s="1"/>
      <c r="Y1378" s="1"/>
      <c r="Z1378" s="1" t="s">
        <v>980</v>
      </c>
      <c r="AA1378" s="1" t="s">
        <v>5809</v>
      </c>
      <c r="AB1378" s="1" t="str">
        <f>"***595803**"</f>
        <v>***595803**</v>
      </c>
      <c r="AC1378" s="1"/>
      <c r="AD1378" s="1" t="s">
        <v>62</v>
      </c>
      <c r="AE1378" s="1"/>
      <c r="AF1378" s="1">
        <v>-61.305553</v>
      </c>
      <c r="AG1378" s="1">
        <v>1.242778</v>
      </c>
      <c r="AH1378" s="1" t="s">
        <v>5810</v>
      </c>
      <c r="AI1378" s="1"/>
      <c r="AJ1378" s="1" t="s">
        <v>415</v>
      </c>
      <c r="AK1378" s="1"/>
      <c r="AL1378" s="1"/>
      <c r="AM1378" s="1" t="s">
        <v>65</v>
      </c>
      <c r="AN1378" s="1" t="s">
        <v>5811</v>
      </c>
      <c r="AO1378" s="1"/>
      <c r="AP1378" s="2">
        <v>43782.8434375</v>
      </c>
      <c r="AQ1378" s="1"/>
      <c r="AR1378" s="1" t="s">
        <v>360</v>
      </c>
      <c r="AS1378" s="1" t="s">
        <v>5812</v>
      </c>
      <c r="AT1378" s="2">
        <v>44269.931099537</v>
      </c>
    </row>
    <row r="1379" ht="13.5" customHeight="1">
      <c r="A1379" s="1"/>
      <c r="B1379" s="1" t="s">
        <v>46</v>
      </c>
      <c r="C1379" s="1" t="s">
        <v>47</v>
      </c>
      <c r="D1379" s="1"/>
      <c r="E1379" s="1" t="s">
        <v>5813</v>
      </c>
      <c r="F1379" s="1"/>
      <c r="G1379" s="1"/>
      <c r="H1379" s="1" t="s">
        <v>93</v>
      </c>
      <c r="I1379" s="1">
        <v>120000.0</v>
      </c>
      <c r="J1379" s="1"/>
      <c r="K1379" s="1"/>
      <c r="L1379" s="1"/>
      <c r="M1379" s="1" t="s">
        <v>5814</v>
      </c>
      <c r="N1379" s="1" t="s">
        <v>142</v>
      </c>
      <c r="O1379" s="1" t="s">
        <v>143</v>
      </c>
      <c r="P1379" s="2">
        <v>43781.8059375</v>
      </c>
      <c r="Q1379" s="1" t="s">
        <v>373</v>
      </c>
      <c r="R1379" s="1"/>
      <c r="S1379" s="1"/>
      <c r="T1379" s="1">
        <v>1100338.0</v>
      </c>
      <c r="U1379" s="1" t="s">
        <v>5017</v>
      </c>
      <c r="V1379" s="1" t="s">
        <v>448</v>
      </c>
      <c r="W1379" s="1" t="s">
        <v>177</v>
      </c>
      <c r="X1379" s="1"/>
      <c r="Y1379" s="1"/>
      <c r="Z1379" s="1" t="s">
        <v>147</v>
      </c>
      <c r="AA1379" s="1" t="s">
        <v>5815</v>
      </c>
      <c r="AB1379" s="1" t="str">
        <f>"***612682**"</f>
        <v>***612682**</v>
      </c>
      <c r="AC1379" s="1"/>
      <c r="AD1379" s="1" t="s">
        <v>116</v>
      </c>
      <c r="AE1379" s="1"/>
      <c r="AF1379" s="1">
        <v>-65.077499</v>
      </c>
      <c r="AG1379" s="1">
        <v>-10.012222</v>
      </c>
      <c r="AH1379" s="1" t="s">
        <v>5816</v>
      </c>
      <c r="AI1379" s="1"/>
      <c r="AJ1379" s="1" t="s">
        <v>172</v>
      </c>
      <c r="AK1379" s="1"/>
      <c r="AL1379" s="1"/>
      <c r="AM1379" s="1" t="s">
        <v>65</v>
      </c>
      <c r="AN1379" s="1" t="s">
        <v>1395</v>
      </c>
      <c r="AO1379" s="1"/>
      <c r="AP1379" s="2">
        <v>43781.8192592593</v>
      </c>
      <c r="AQ1379" s="1"/>
      <c r="AR1379" s="1" t="s">
        <v>644</v>
      </c>
      <c r="AS1379" s="1" t="s">
        <v>5817</v>
      </c>
      <c r="AT1379" s="2">
        <v>44269.931099537</v>
      </c>
    </row>
    <row r="1380" ht="13.5" customHeight="1">
      <c r="A1380" s="1"/>
      <c r="B1380" s="1" t="s">
        <v>46</v>
      </c>
      <c r="C1380" s="1" t="s">
        <v>47</v>
      </c>
      <c r="D1380" s="1"/>
      <c r="E1380" s="1" t="s">
        <v>5818</v>
      </c>
      <c r="F1380" s="1"/>
      <c r="G1380" s="1" t="s">
        <v>49</v>
      </c>
      <c r="H1380" s="1" t="s">
        <v>93</v>
      </c>
      <c r="I1380" s="1">
        <v>50000.0</v>
      </c>
      <c r="J1380" s="1"/>
      <c r="K1380" s="1"/>
      <c r="L1380" s="1"/>
      <c r="M1380" s="1" t="s">
        <v>5819</v>
      </c>
      <c r="N1380" s="1" t="s">
        <v>142</v>
      </c>
      <c r="O1380" s="1" t="s">
        <v>143</v>
      </c>
      <c r="P1380" s="2">
        <v>43781.7892476852</v>
      </c>
      <c r="Q1380" s="1" t="s">
        <v>74</v>
      </c>
      <c r="R1380" s="3">
        <v>43781.0</v>
      </c>
      <c r="S1380" s="1"/>
      <c r="T1380" s="1">
        <v>1200344.0</v>
      </c>
      <c r="U1380" s="1" t="s">
        <v>5820</v>
      </c>
      <c r="V1380" s="1" t="s">
        <v>498</v>
      </c>
      <c r="W1380" s="1" t="s">
        <v>177</v>
      </c>
      <c r="X1380" s="1"/>
      <c r="Y1380" s="1"/>
      <c r="Z1380" s="1" t="s">
        <v>147</v>
      </c>
      <c r="AA1380" s="1" t="s">
        <v>5821</v>
      </c>
      <c r="AB1380" s="1" t="str">
        <f>"***216902**"</f>
        <v>***216902**</v>
      </c>
      <c r="AC1380" s="1">
        <v>10.0</v>
      </c>
      <c r="AD1380" s="1" t="s">
        <v>116</v>
      </c>
      <c r="AE1380" s="1"/>
      <c r="AF1380" s="1">
        <v>-69.600273</v>
      </c>
      <c r="AG1380" s="1">
        <v>-8.655277</v>
      </c>
      <c r="AH1380" s="1" t="s">
        <v>5822</v>
      </c>
      <c r="AI1380" s="1"/>
      <c r="AJ1380" s="1" t="s">
        <v>3322</v>
      </c>
      <c r="AK1380" s="1"/>
      <c r="AL1380" s="1"/>
      <c r="AM1380" s="1" t="s">
        <v>65</v>
      </c>
      <c r="AN1380" s="1" t="s">
        <v>3305</v>
      </c>
      <c r="AO1380" s="1"/>
      <c r="AP1380" s="2">
        <v>43957.4510648148</v>
      </c>
      <c r="AQ1380" s="1"/>
      <c r="AR1380" s="1" t="s">
        <v>3478</v>
      </c>
      <c r="AS1380" s="1"/>
      <c r="AT1380" s="2">
        <v>44269.931099537</v>
      </c>
    </row>
    <row r="1381" ht="13.5" customHeight="1">
      <c r="A1381" s="1"/>
      <c r="B1381" s="1" t="s">
        <v>46</v>
      </c>
      <c r="C1381" s="1" t="s">
        <v>47</v>
      </c>
      <c r="D1381" s="1"/>
      <c r="E1381" s="1" t="s">
        <v>5823</v>
      </c>
      <c r="F1381" s="1"/>
      <c r="G1381" s="1" t="s">
        <v>121</v>
      </c>
      <c r="H1381" s="1" t="s">
        <v>50</v>
      </c>
      <c r="I1381" s="1"/>
      <c r="J1381" s="1"/>
      <c r="K1381" s="1"/>
      <c r="L1381" s="1"/>
      <c r="M1381" s="1" t="s">
        <v>5824</v>
      </c>
      <c r="N1381" s="1" t="s">
        <v>142</v>
      </c>
      <c r="O1381" s="1" t="s">
        <v>143</v>
      </c>
      <c r="P1381" s="2">
        <v>43781.7634143519</v>
      </c>
      <c r="Q1381" s="1"/>
      <c r="R1381" s="1"/>
      <c r="S1381" s="1"/>
      <c r="T1381" s="1">
        <v>3138203.0</v>
      </c>
      <c r="U1381" s="1" t="s">
        <v>5825</v>
      </c>
      <c r="V1381" s="1" t="s">
        <v>126</v>
      </c>
      <c r="W1381" s="1" t="s">
        <v>59</v>
      </c>
      <c r="X1381" s="1"/>
      <c r="Y1381" s="1"/>
      <c r="Z1381" s="1" t="s">
        <v>1433</v>
      </c>
      <c r="AA1381" s="1" t="s">
        <v>5826</v>
      </c>
      <c r="AB1381" s="1" t="str">
        <f>"01076662000108"</f>
        <v>01076662000108</v>
      </c>
      <c r="AC1381" s="1"/>
      <c r="AD1381" s="1" t="s">
        <v>149</v>
      </c>
      <c r="AE1381" s="1"/>
      <c r="AF1381" s="1">
        <v>-45.000557</v>
      </c>
      <c r="AG1381" s="1">
        <v>-21.229445</v>
      </c>
      <c r="AH1381" s="1" t="s">
        <v>5827</v>
      </c>
      <c r="AI1381" s="1"/>
      <c r="AJ1381" s="1" t="s">
        <v>4389</v>
      </c>
      <c r="AK1381" s="1"/>
      <c r="AL1381" s="1"/>
      <c r="AM1381" s="1" t="s">
        <v>65</v>
      </c>
      <c r="AN1381" s="1" t="s">
        <v>5828</v>
      </c>
      <c r="AO1381" s="1"/>
      <c r="AP1381" s="2">
        <v>44174.5110069444</v>
      </c>
      <c r="AQ1381" s="1"/>
      <c r="AR1381" s="1" t="s">
        <v>5829</v>
      </c>
      <c r="AS1381" s="1"/>
      <c r="AT1381" s="2">
        <v>44269.931099537</v>
      </c>
    </row>
    <row r="1382" ht="13.5" customHeight="1">
      <c r="A1382" s="1">
        <v>2034503.0</v>
      </c>
      <c r="B1382" s="1" t="s">
        <v>67</v>
      </c>
      <c r="C1382" s="1" t="s">
        <v>68</v>
      </c>
      <c r="D1382" s="1" t="s">
        <v>46</v>
      </c>
      <c r="E1382" s="1" t="s">
        <v>5830</v>
      </c>
      <c r="F1382" s="1"/>
      <c r="G1382" s="1" t="s">
        <v>70</v>
      </c>
      <c r="H1382" s="1" t="s">
        <v>93</v>
      </c>
      <c r="I1382" s="1">
        <v>50500.0</v>
      </c>
      <c r="J1382" s="1"/>
      <c r="K1382" s="1"/>
      <c r="L1382" s="1" t="s">
        <v>106</v>
      </c>
      <c r="M1382" s="1" t="s">
        <v>5831</v>
      </c>
      <c r="N1382" s="1" t="s">
        <v>142</v>
      </c>
      <c r="O1382" s="1" t="s">
        <v>5016</v>
      </c>
      <c r="P1382" s="2">
        <v>43781.7215277778</v>
      </c>
      <c r="Q1382" s="1" t="s">
        <v>373</v>
      </c>
      <c r="R1382" s="1"/>
      <c r="S1382" s="1"/>
      <c r="T1382" s="1">
        <v>2306405.0</v>
      </c>
      <c r="U1382" s="1" t="s">
        <v>3333</v>
      </c>
      <c r="V1382" s="1" t="s">
        <v>112</v>
      </c>
      <c r="W1382" s="1" t="s">
        <v>113</v>
      </c>
      <c r="X1382" s="1"/>
      <c r="Y1382" s="1" t="str">
        <f>"02007000305202039"</f>
        <v>02007000305202039</v>
      </c>
      <c r="Z1382" s="1" t="s">
        <v>259</v>
      </c>
      <c r="AA1382" s="1" t="s">
        <v>5832</v>
      </c>
      <c r="AB1382" s="1" t="str">
        <f>"***881403**"</f>
        <v>***881403**</v>
      </c>
      <c r="AC1382" s="1"/>
      <c r="AD1382" s="1" t="s">
        <v>116</v>
      </c>
      <c r="AE1382" s="1"/>
      <c r="AF1382" s="1">
        <v>0.0</v>
      </c>
      <c r="AG1382" s="1">
        <v>0.0</v>
      </c>
      <c r="AH1382" s="1" t="s">
        <v>5833</v>
      </c>
      <c r="AI1382" s="1"/>
      <c r="AJ1382" s="1"/>
      <c r="AK1382" s="1"/>
      <c r="AL1382" s="1" t="s">
        <v>118</v>
      </c>
      <c r="AM1382" s="1"/>
      <c r="AN1382" s="1"/>
      <c r="AO1382" s="2">
        <v>43879.6503472222</v>
      </c>
      <c r="AP1382" s="2">
        <v>43879.6503472222</v>
      </c>
      <c r="AQ1382" s="1" t="s">
        <v>80</v>
      </c>
      <c r="AR1382" s="1" t="s">
        <v>5834</v>
      </c>
      <c r="AS1382" s="1" t="s">
        <v>5835</v>
      </c>
      <c r="AT1382" s="2">
        <v>44269.931099537</v>
      </c>
    </row>
    <row r="1383" ht="13.5" customHeight="1">
      <c r="A1383" s="1"/>
      <c r="B1383" s="1" t="s">
        <v>46</v>
      </c>
      <c r="C1383" s="1" t="s">
        <v>47</v>
      </c>
      <c r="D1383" s="1"/>
      <c r="E1383" s="1" t="s">
        <v>5836</v>
      </c>
      <c r="F1383" s="1"/>
      <c r="G1383" s="1"/>
      <c r="H1383" s="1" t="s">
        <v>93</v>
      </c>
      <c r="I1383" s="1">
        <v>71500.0</v>
      </c>
      <c r="J1383" s="1"/>
      <c r="K1383" s="1"/>
      <c r="L1383" s="1"/>
      <c r="M1383" s="1" t="s">
        <v>5837</v>
      </c>
      <c r="N1383" s="1" t="s">
        <v>123</v>
      </c>
      <c r="O1383" s="1" t="s">
        <v>73</v>
      </c>
      <c r="P1383" s="2">
        <v>43781.6909722222</v>
      </c>
      <c r="Q1383" s="1" t="s">
        <v>373</v>
      </c>
      <c r="R1383" s="1"/>
      <c r="S1383" s="1"/>
      <c r="T1383" s="1">
        <v>1506005.0</v>
      </c>
      <c r="U1383" s="1" t="s">
        <v>1143</v>
      </c>
      <c r="V1383" s="1" t="s">
        <v>193</v>
      </c>
      <c r="W1383" s="1" t="s">
        <v>177</v>
      </c>
      <c r="X1383" s="1"/>
      <c r="Y1383" s="1"/>
      <c r="Z1383" s="1" t="s">
        <v>76</v>
      </c>
      <c r="AA1383" s="1" t="s">
        <v>5838</v>
      </c>
      <c r="AB1383" s="1" t="str">
        <f>"08990062000108"</f>
        <v>08990062000108</v>
      </c>
      <c r="AC1383" s="1"/>
      <c r="AD1383" s="1" t="s">
        <v>62</v>
      </c>
      <c r="AE1383" s="1"/>
      <c r="AF1383" s="1">
        <v>-53.953056</v>
      </c>
      <c r="AG1383" s="1">
        <v>-2.859722</v>
      </c>
      <c r="AH1383" s="1" t="s">
        <v>5839</v>
      </c>
      <c r="AI1383" s="1"/>
      <c r="AJ1383" s="1" t="s">
        <v>765</v>
      </c>
      <c r="AK1383" s="1"/>
      <c r="AL1383" s="1"/>
      <c r="AM1383" s="1" t="s">
        <v>65</v>
      </c>
      <c r="AN1383" s="1" t="s">
        <v>1146</v>
      </c>
      <c r="AO1383" s="1"/>
      <c r="AP1383" s="2">
        <v>43781.7063078704</v>
      </c>
      <c r="AQ1383" s="1"/>
      <c r="AR1383" s="1" t="s">
        <v>396</v>
      </c>
      <c r="AS1383" s="1"/>
      <c r="AT1383" s="2">
        <v>44269.931099537</v>
      </c>
    </row>
    <row r="1384" ht="13.5" customHeight="1">
      <c r="A1384" s="1"/>
      <c r="B1384" s="1" t="s">
        <v>46</v>
      </c>
      <c r="C1384" s="1" t="s">
        <v>47</v>
      </c>
      <c r="D1384" s="1"/>
      <c r="E1384" s="1" t="s">
        <v>5840</v>
      </c>
      <c r="F1384" s="1"/>
      <c r="G1384" s="1"/>
      <c r="H1384" s="1" t="s">
        <v>93</v>
      </c>
      <c r="I1384" s="1">
        <v>1300.0</v>
      </c>
      <c r="J1384" s="1"/>
      <c r="K1384" s="1" t="s">
        <v>51</v>
      </c>
      <c r="L1384" s="1"/>
      <c r="M1384" s="1" t="s">
        <v>5841</v>
      </c>
      <c r="N1384" s="1" t="s">
        <v>108</v>
      </c>
      <c r="O1384" s="1" t="s">
        <v>109</v>
      </c>
      <c r="P1384" s="2">
        <v>43781.6268402778</v>
      </c>
      <c r="Q1384" s="1" t="s">
        <v>74</v>
      </c>
      <c r="R1384" s="3">
        <v>43791.0</v>
      </c>
      <c r="S1384" s="1"/>
      <c r="T1384" s="1">
        <v>3509502.0</v>
      </c>
      <c r="U1384" s="1" t="s">
        <v>97</v>
      </c>
      <c r="V1384" s="1" t="s">
        <v>58</v>
      </c>
      <c r="W1384" s="1" t="s">
        <v>59</v>
      </c>
      <c r="X1384" s="1"/>
      <c r="Y1384" s="1"/>
      <c r="Z1384" s="1" t="s">
        <v>226</v>
      </c>
      <c r="AA1384" s="1" t="s">
        <v>5842</v>
      </c>
      <c r="AB1384" s="1" t="str">
        <f>"61454393000106"</f>
        <v>61454393000106</v>
      </c>
      <c r="AC1384" s="1"/>
      <c r="AD1384" s="1" t="s">
        <v>62</v>
      </c>
      <c r="AE1384" s="1"/>
      <c r="AF1384" s="1">
        <v>-47.144169</v>
      </c>
      <c r="AG1384" s="1">
        <v>-23.007778</v>
      </c>
      <c r="AH1384" s="1" t="s">
        <v>5843</v>
      </c>
      <c r="AI1384" s="1"/>
      <c r="AJ1384" s="1" t="s">
        <v>101</v>
      </c>
      <c r="AK1384" s="1"/>
      <c r="AL1384" s="1"/>
      <c r="AM1384" s="1" t="s">
        <v>65</v>
      </c>
      <c r="AN1384" s="1" t="s">
        <v>102</v>
      </c>
      <c r="AO1384" s="1"/>
      <c r="AP1384" s="2">
        <v>43781.6333449074</v>
      </c>
      <c r="AQ1384" s="1"/>
      <c r="AR1384" s="1" t="s">
        <v>899</v>
      </c>
      <c r="AS1384" s="1"/>
      <c r="AT1384" s="2">
        <v>44269.931099537</v>
      </c>
    </row>
    <row r="1385" ht="13.5" customHeight="1">
      <c r="A1385" s="1"/>
      <c r="B1385" s="1" t="s">
        <v>46</v>
      </c>
      <c r="C1385" s="1" t="s">
        <v>47</v>
      </c>
      <c r="D1385" s="1"/>
      <c r="E1385" s="1" t="s">
        <v>5844</v>
      </c>
      <c r="F1385" s="1"/>
      <c r="G1385" s="1"/>
      <c r="H1385" s="1" t="s">
        <v>93</v>
      </c>
      <c r="I1385" s="1">
        <v>60000.0</v>
      </c>
      <c r="J1385" s="1"/>
      <c r="K1385" s="1"/>
      <c r="L1385" s="1"/>
      <c r="M1385" s="1" t="s">
        <v>5845</v>
      </c>
      <c r="N1385" s="1" t="s">
        <v>123</v>
      </c>
      <c r="O1385" s="1" t="s">
        <v>73</v>
      </c>
      <c r="P1385" s="2">
        <v>43781.6251273148</v>
      </c>
      <c r="Q1385" s="1" t="s">
        <v>74</v>
      </c>
      <c r="R1385" s="3">
        <v>43781.0</v>
      </c>
      <c r="S1385" s="1"/>
      <c r="T1385" s="1">
        <v>4106803.0</v>
      </c>
      <c r="U1385" s="1" t="s">
        <v>5846</v>
      </c>
      <c r="V1385" s="1" t="s">
        <v>176</v>
      </c>
      <c r="W1385" s="1" t="s">
        <v>59</v>
      </c>
      <c r="X1385" s="1"/>
      <c r="Y1385" s="1"/>
      <c r="Z1385" s="1" t="s">
        <v>76</v>
      </c>
      <c r="AA1385" s="1" t="s">
        <v>5847</v>
      </c>
      <c r="AB1385" s="1" t="str">
        <f>"06325423000249"</f>
        <v>06325423000249</v>
      </c>
      <c r="AC1385" s="1"/>
      <c r="AD1385" s="1" t="s">
        <v>149</v>
      </c>
      <c r="AE1385" s="1"/>
      <c r="AF1385" s="1">
        <v>-51.041111</v>
      </c>
      <c r="AG1385" s="1">
        <v>-25.985001</v>
      </c>
      <c r="AH1385" s="1" t="s">
        <v>5848</v>
      </c>
      <c r="AI1385" s="1"/>
      <c r="AJ1385" s="1" t="s">
        <v>358</v>
      </c>
      <c r="AK1385" s="1"/>
      <c r="AL1385" s="1"/>
      <c r="AM1385" s="1" t="s">
        <v>65</v>
      </c>
      <c r="AN1385" s="1" t="s">
        <v>359</v>
      </c>
      <c r="AO1385" s="1"/>
      <c r="AP1385" s="2">
        <v>43782.4473958333</v>
      </c>
      <c r="AQ1385" s="1"/>
      <c r="AR1385" s="1" t="s">
        <v>793</v>
      </c>
      <c r="AS1385" s="1"/>
      <c r="AT1385" s="2">
        <v>44269.931099537</v>
      </c>
    </row>
    <row r="1386" ht="13.5" customHeight="1">
      <c r="A1386" s="1">
        <v>2035034.0</v>
      </c>
      <c r="B1386" s="1" t="s">
        <v>67</v>
      </c>
      <c r="C1386" s="1" t="s">
        <v>68</v>
      </c>
      <c r="D1386" s="1" t="s">
        <v>46</v>
      </c>
      <c r="E1386" s="1" t="s">
        <v>5849</v>
      </c>
      <c r="F1386" s="1"/>
      <c r="G1386" s="1" t="s">
        <v>70</v>
      </c>
      <c r="H1386" s="1" t="s">
        <v>93</v>
      </c>
      <c r="I1386" s="1">
        <v>11500.0</v>
      </c>
      <c r="J1386" s="1"/>
      <c r="K1386" s="1"/>
      <c r="L1386" s="1" t="s">
        <v>765</v>
      </c>
      <c r="M1386" s="1" t="s">
        <v>5850</v>
      </c>
      <c r="N1386" s="1" t="s">
        <v>72</v>
      </c>
      <c r="O1386" s="1" t="s">
        <v>73</v>
      </c>
      <c r="P1386" s="2">
        <v>43781.625</v>
      </c>
      <c r="Q1386" s="1" t="s">
        <v>373</v>
      </c>
      <c r="R1386" s="3">
        <v>43781.0</v>
      </c>
      <c r="S1386" s="1"/>
      <c r="T1386" s="1">
        <v>1506005.0</v>
      </c>
      <c r="U1386" s="1" t="s">
        <v>1143</v>
      </c>
      <c r="V1386" s="1" t="s">
        <v>193</v>
      </c>
      <c r="W1386" s="1" t="s">
        <v>177</v>
      </c>
      <c r="X1386" s="1"/>
      <c r="Y1386" s="1"/>
      <c r="Z1386" s="1" t="s">
        <v>76</v>
      </c>
      <c r="AA1386" s="1" t="s">
        <v>5851</v>
      </c>
      <c r="AB1386" s="1" t="str">
        <f>"33074098000180"</f>
        <v>33074098000180</v>
      </c>
      <c r="AC1386" s="1"/>
      <c r="AD1386" s="1"/>
      <c r="AE1386" s="1"/>
      <c r="AF1386" s="1">
        <v>-53.953056</v>
      </c>
      <c r="AG1386" s="1">
        <v>-2.859722</v>
      </c>
      <c r="AH1386" s="1" t="s">
        <v>5852</v>
      </c>
      <c r="AI1386" s="1"/>
      <c r="AJ1386" s="1" t="s">
        <v>765</v>
      </c>
      <c r="AK1386" s="1"/>
      <c r="AL1386" s="1" t="s">
        <v>79</v>
      </c>
      <c r="AM1386" s="1" t="s">
        <v>65</v>
      </c>
      <c r="AN1386" s="1" t="s">
        <v>1146</v>
      </c>
      <c r="AO1386" s="2">
        <v>43894.0</v>
      </c>
      <c r="AP1386" s="2">
        <v>43894.3824074074</v>
      </c>
      <c r="AQ1386" s="1" t="s">
        <v>80</v>
      </c>
      <c r="AR1386" s="1" t="s">
        <v>81</v>
      </c>
      <c r="AS1386" s="1"/>
      <c r="AT1386" s="2">
        <v>44269.931099537</v>
      </c>
    </row>
    <row r="1387" ht="13.5" customHeight="1">
      <c r="A1387" s="1">
        <v>2035035.0</v>
      </c>
      <c r="B1387" s="1" t="s">
        <v>67</v>
      </c>
      <c r="C1387" s="1" t="s">
        <v>68</v>
      </c>
      <c r="D1387" s="1" t="s">
        <v>46</v>
      </c>
      <c r="E1387" s="1" t="s">
        <v>5853</v>
      </c>
      <c r="F1387" s="1"/>
      <c r="G1387" s="1" t="s">
        <v>70</v>
      </c>
      <c r="H1387" s="1" t="s">
        <v>93</v>
      </c>
      <c r="I1387" s="1">
        <v>41500.0</v>
      </c>
      <c r="J1387" s="1"/>
      <c r="K1387" s="1"/>
      <c r="L1387" s="1" t="s">
        <v>765</v>
      </c>
      <c r="M1387" s="1" t="s">
        <v>5854</v>
      </c>
      <c r="N1387" s="1" t="s">
        <v>72</v>
      </c>
      <c r="O1387" s="1" t="s">
        <v>73</v>
      </c>
      <c r="P1387" s="2">
        <v>43781.625</v>
      </c>
      <c r="Q1387" s="1" t="s">
        <v>373</v>
      </c>
      <c r="R1387" s="3">
        <v>43781.0</v>
      </c>
      <c r="S1387" s="1"/>
      <c r="T1387" s="1">
        <v>1506005.0</v>
      </c>
      <c r="U1387" s="1" t="s">
        <v>1143</v>
      </c>
      <c r="V1387" s="1" t="s">
        <v>193</v>
      </c>
      <c r="W1387" s="1" t="s">
        <v>177</v>
      </c>
      <c r="X1387" s="1"/>
      <c r="Y1387" s="1"/>
      <c r="Z1387" s="1" t="s">
        <v>76</v>
      </c>
      <c r="AA1387" s="1" t="s">
        <v>5855</v>
      </c>
      <c r="AB1387" s="1" t="str">
        <f>"17252861000160"</f>
        <v>17252861000160</v>
      </c>
      <c r="AC1387" s="1"/>
      <c r="AD1387" s="1"/>
      <c r="AE1387" s="1"/>
      <c r="AF1387" s="1">
        <v>-53.953056</v>
      </c>
      <c r="AG1387" s="1">
        <v>-2.859722</v>
      </c>
      <c r="AH1387" s="1" t="s">
        <v>5839</v>
      </c>
      <c r="AI1387" s="1"/>
      <c r="AJ1387" s="1" t="s">
        <v>765</v>
      </c>
      <c r="AK1387" s="1"/>
      <c r="AL1387" s="1" t="s">
        <v>79</v>
      </c>
      <c r="AM1387" s="1" t="s">
        <v>65</v>
      </c>
      <c r="AN1387" s="1" t="s">
        <v>1146</v>
      </c>
      <c r="AO1387" s="2">
        <v>43894.0</v>
      </c>
      <c r="AP1387" s="2">
        <v>43894.3825925926</v>
      </c>
      <c r="AQ1387" s="1" t="s">
        <v>80</v>
      </c>
      <c r="AR1387" s="1" t="s">
        <v>81</v>
      </c>
      <c r="AS1387" s="1"/>
      <c r="AT1387" s="2">
        <v>44269.931099537</v>
      </c>
    </row>
    <row r="1388" ht="13.5" customHeight="1">
      <c r="A1388" s="1">
        <v>2035372.0</v>
      </c>
      <c r="B1388" s="1" t="s">
        <v>67</v>
      </c>
      <c r="C1388" s="1" t="s">
        <v>68</v>
      </c>
      <c r="D1388" s="1" t="s">
        <v>46</v>
      </c>
      <c r="E1388" s="1" t="s">
        <v>5856</v>
      </c>
      <c r="F1388" s="1"/>
      <c r="G1388" s="1" t="s">
        <v>70</v>
      </c>
      <c r="H1388" s="1" t="s">
        <v>93</v>
      </c>
      <c r="I1388" s="1">
        <v>500000.0</v>
      </c>
      <c r="J1388" s="1"/>
      <c r="K1388" s="1"/>
      <c r="L1388" s="1" t="s">
        <v>172</v>
      </c>
      <c r="M1388" s="1" t="s">
        <v>5857</v>
      </c>
      <c r="N1388" s="1" t="s">
        <v>142</v>
      </c>
      <c r="O1388" s="1" t="s">
        <v>143</v>
      </c>
      <c r="P1388" s="2">
        <v>43781.625</v>
      </c>
      <c r="Q1388" s="1" t="s">
        <v>373</v>
      </c>
      <c r="R1388" s="3">
        <v>43781.0</v>
      </c>
      <c r="S1388" s="1"/>
      <c r="T1388" s="1">
        <v>1100338.0</v>
      </c>
      <c r="U1388" s="1" t="s">
        <v>5017</v>
      </c>
      <c r="V1388" s="1" t="s">
        <v>448</v>
      </c>
      <c r="W1388" s="1" t="s">
        <v>177</v>
      </c>
      <c r="X1388" s="1"/>
      <c r="Y1388" s="1" t="str">
        <f>"02001006601202001"</f>
        <v>02001006601202001</v>
      </c>
      <c r="Z1388" s="1" t="s">
        <v>147</v>
      </c>
      <c r="AA1388" s="1" t="s">
        <v>5858</v>
      </c>
      <c r="AB1388" s="1" t="str">
        <f>"***531012**"</f>
        <v>***531012**</v>
      </c>
      <c r="AC1388" s="1"/>
      <c r="AD1388" s="1"/>
      <c r="AE1388" s="1"/>
      <c r="AF1388" s="1">
        <v>-65.228607</v>
      </c>
      <c r="AG1388" s="1">
        <v>-10.052222</v>
      </c>
      <c r="AH1388" s="1" t="s">
        <v>5859</v>
      </c>
      <c r="AI1388" s="1"/>
      <c r="AJ1388" s="1" t="s">
        <v>172</v>
      </c>
      <c r="AK1388" s="1"/>
      <c r="AL1388" s="1" t="s">
        <v>79</v>
      </c>
      <c r="AM1388" s="1" t="s">
        <v>65</v>
      </c>
      <c r="AN1388" s="1" t="s">
        <v>1395</v>
      </c>
      <c r="AO1388" s="2">
        <v>43901.0</v>
      </c>
      <c r="AP1388" s="2">
        <v>43901.6595601852</v>
      </c>
      <c r="AQ1388" s="1" t="s">
        <v>80</v>
      </c>
      <c r="AR1388" s="1" t="s">
        <v>421</v>
      </c>
      <c r="AS1388" s="1"/>
      <c r="AT1388" s="2">
        <v>44269.931099537</v>
      </c>
    </row>
    <row r="1389" ht="13.5" customHeight="1">
      <c r="A1389" s="1">
        <v>2039515.0</v>
      </c>
      <c r="B1389" s="1" t="s">
        <v>67</v>
      </c>
      <c r="C1389" s="1" t="s">
        <v>68</v>
      </c>
      <c r="D1389" s="1" t="s">
        <v>46</v>
      </c>
      <c r="E1389" s="1" t="s">
        <v>5860</v>
      </c>
      <c r="F1389" s="1"/>
      <c r="G1389" s="1" t="s">
        <v>70</v>
      </c>
      <c r="H1389" s="1" t="s">
        <v>93</v>
      </c>
      <c r="I1389" s="1">
        <v>125000.0</v>
      </c>
      <c r="J1389" s="1"/>
      <c r="K1389" s="1"/>
      <c r="L1389" s="1" t="s">
        <v>172</v>
      </c>
      <c r="M1389" s="1" t="s">
        <v>5861</v>
      </c>
      <c r="N1389" s="1" t="s">
        <v>142</v>
      </c>
      <c r="O1389" s="1" t="s">
        <v>143</v>
      </c>
      <c r="P1389" s="2">
        <v>43781.625</v>
      </c>
      <c r="Q1389" s="1" t="s">
        <v>74</v>
      </c>
      <c r="R1389" s="1"/>
      <c r="S1389" s="1"/>
      <c r="T1389" s="1">
        <v>5105580.0</v>
      </c>
      <c r="U1389" s="1" t="s">
        <v>5187</v>
      </c>
      <c r="V1389" s="1" t="s">
        <v>164</v>
      </c>
      <c r="W1389" s="1" t="s">
        <v>177</v>
      </c>
      <c r="X1389" s="1"/>
      <c r="Y1389" s="1" t="str">
        <f>"02001004320202014"</f>
        <v>02001004320202014</v>
      </c>
      <c r="Z1389" s="1" t="s">
        <v>147</v>
      </c>
      <c r="AA1389" s="1" t="s">
        <v>5862</v>
      </c>
      <c r="AB1389" s="1" t="str">
        <f>"***979638**"</f>
        <v>***979638**</v>
      </c>
      <c r="AC1389" s="1"/>
      <c r="AD1389" s="1"/>
      <c r="AE1389" s="1"/>
      <c r="AF1389" s="1">
        <v>-53.989723</v>
      </c>
      <c r="AG1389" s="1">
        <v>-10.71</v>
      </c>
      <c r="AH1389" s="1" t="s">
        <v>5863</v>
      </c>
      <c r="AI1389" s="1"/>
      <c r="AJ1389" s="1" t="s">
        <v>172</v>
      </c>
      <c r="AK1389" s="1"/>
      <c r="AL1389" s="1" t="s">
        <v>79</v>
      </c>
      <c r="AM1389" s="1" t="s">
        <v>65</v>
      </c>
      <c r="AN1389" s="1" t="s">
        <v>180</v>
      </c>
      <c r="AO1389" s="2">
        <v>44064.0</v>
      </c>
      <c r="AP1389" s="2">
        <v>44064.506099537</v>
      </c>
      <c r="AQ1389" s="1" t="s">
        <v>80</v>
      </c>
      <c r="AR1389" s="1" t="s">
        <v>421</v>
      </c>
      <c r="AS1389" s="1"/>
      <c r="AT1389" s="2">
        <v>44269.931099537</v>
      </c>
    </row>
    <row r="1390" ht="13.5" customHeight="1">
      <c r="A1390" s="1">
        <v>2035046.0</v>
      </c>
      <c r="B1390" s="1" t="s">
        <v>67</v>
      </c>
      <c r="C1390" s="1" t="s">
        <v>68</v>
      </c>
      <c r="D1390" s="1" t="s">
        <v>46</v>
      </c>
      <c r="E1390" s="1" t="s">
        <v>5864</v>
      </c>
      <c r="F1390" s="1"/>
      <c r="G1390" s="1" t="s">
        <v>70</v>
      </c>
      <c r="H1390" s="1" t="s">
        <v>93</v>
      </c>
      <c r="I1390" s="1">
        <v>41500.0</v>
      </c>
      <c r="J1390" s="1"/>
      <c r="K1390" s="1"/>
      <c r="L1390" s="1" t="s">
        <v>765</v>
      </c>
      <c r="M1390" s="1" t="s">
        <v>5865</v>
      </c>
      <c r="N1390" s="1" t="s">
        <v>72</v>
      </c>
      <c r="O1390" s="1" t="s">
        <v>73</v>
      </c>
      <c r="P1390" s="2">
        <v>43781.5833333333</v>
      </c>
      <c r="Q1390" s="1" t="s">
        <v>373</v>
      </c>
      <c r="R1390" s="3">
        <v>43781.0</v>
      </c>
      <c r="S1390" s="1"/>
      <c r="T1390" s="1">
        <v>1506005.0</v>
      </c>
      <c r="U1390" s="1" t="s">
        <v>1143</v>
      </c>
      <c r="V1390" s="1" t="s">
        <v>193</v>
      </c>
      <c r="W1390" s="1" t="s">
        <v>177</v>
      </c>
      <c r="X1390" s="1"/>
      <c r="Y1390" s="1"/>
      <c r="Z1390" s="1" t="s">
        <v>76</v>
      </c>
      <c r="AA1390" s="1" t="s">
        <v>5866</v>
      </c>
      <c r="AB1390" s="1" t="str">
        <f>"04139531000200"</f>
        <v>04139531000200</v>
      </c>
      <c r="AC1390" s="1"/>
      <c r="AD1390" s="1"/>
      <c r="AE1390" s="1"/>
      <c r="AF1390" s="1">
        <v>-53.953056</v>
      </c>
      <c r="AG1390" s="1">
        <v>-2.859722</v>
      </c>
      <c r="AH1390" s="1" t="s">
        <v>5839</v>
      </c>
      <c r="AI1390" s="1"/>
      <c r="AJ1390" s="1" t="s">
        <v>765</v>
      </c>
      <c r="AK1390" s="1"/>
      <c r="AL1390" s="1" t="s">
        <v>79</v>
      </c>
      <c r="AM1390" s="1" t="s">
        <v>65</v>
      </c>
      <c r="AN1390" s="1" t="s">
        <v>1146</v>
      </c>
      <c r="AO1390" s="2">
        <v>43894.0</v>
      </c>
      <c r="AP1390" s="2">
        <v>43894.3840972222</v>
      </c>
      <c r="AQ1390" s="1" t="s">
        <v>80</v>
      </c>
      <c r="AR1390" s="1" t="s">
        <v>81</v>
      </c>
      <c r="AS1390" s="1"/>
      <c r="AT1390" s="2">
        <v>44269.931099537</v>
      </c>
    </row>
    <row r="1391" ht="13.5" customHeight="1">
      <c r="A1391" s="1"/>
      <c r="B1391" s="1" t="s">
        <v>46</v>
      </c>
      <c r="C1391" s="1" t="s">
        <v>47</v>
      </c>
      <c r="D1391" s="1"/>
      <c r="E1391" s="1" t="s">
        <v>5867</v>
      </c>
      <c r="F1391" s="1"/>
      <c r="G1391" s="1"/>
      <c r="H1391" s="1" t="s">
        <v>93</v>
      </c>
      <c r="I1391" s="1">
        <v>2062500.0</v>
      </c>
      <c r="J1391" s="1"/>
      <c r="K1391" s="1"/>
      <c r="L1391" s="1"/>
      <c r="M1391" s="1" t="s">
        <v>5868</v>
      </c>
      <c r="N1391" s="1" t="s">
        <v>142</v>
      </c>
      <c r="O1391" s="1" t="s">
        <v>143</v>
      </c>
      <c r="P1391" s="2">
        <v>43781.5717824074</v>
      </c>
      <c r="Q1391" s="1" t="s">
        <v>55</v>
      </c>
      <c r="R1391" s="1"/>
      <c r="S1391" s="1"/>
      <c r="T1391" s="1">
        <v>1505031.0</v>
      </c>
      <c r="U1391" s="1" t="s">
        <v>5123</v>
      </c>
      <c r="V1391" s="1" t="s">
        <v>193</v>
      </c>
      <c r="W1391" s="1" t="s">
        <v>177</v>
      </c>
      <c r="X1391" s="1"/>
      <c r="Y1391" s="1"/>
      <c r="Z1391" s="1" t="s">
        <v>147</v>
      </c>
      <c r="AA1391" s="1" t="s">
        <v>5869</v>
      </c>
      <c r="AB1391" s="1" t="str">
        <f>"***229481**"</f>
        <v>***229481**</v>
      </c>
      <c r="AC1391" s="1"/>
      <c r="AD1391" s="1" t="s">
        <v>2103</v>
      </c>
      <c r="AE1391" s="1"/>
      <c r="AF1391" s="1">
        <v>-55.489723</v>
      </c>
      <c r="AG1391" s="1">
        <v>-7.46</v>
      </c>
      <c r="AH1391" s="1" t="s">
        <v>5870</v>
      </c>
      <c r="AI1391" s="1"/>
      <c r="AJ1391" s="1" t="s">
        <v>172</v>
      </c>
      <c r="AK1391" s="1"/>
      <c r="AL1391" s="1"/>
      <c r="AM1391" s="1" t="s">
        <v>65</v>
      </c>
      <c r="AN1391" s="1" t="s">
        <v>1395</v>
      </c>
      <c r="AO1391" s="1"/>
      <c r="AP1391" s="2">
        <v>43781.5903587963</v>
      </c>
      <c r="AQ1391" s="1"/>
      <c r="AR1391" s="1" t="s">
        <v>5871</v>
      </c>
      <c r="AS1391" s="1"/>
      <c r="AT1391" s="2">
        <v>44269.931099537</v>
      </c>
    </row>
    <row r="1392" ht="13.5" customHeight="1">
      <c r="A1392" s="1"/>
      <c r="B1392" s="1" t="s">
        <v>46</v>
      </c>
      <c r="C1392" s="1" t="s">
        <v>47</v>
      </c>
      <c r="D1392" s="1"/>
      <c r="E1392" s="1" t="s">
        <v>5872</v>
      </c>
      <c r="F1392" s="1"/>
      <c r="G1392" s="1"/>
      <c r="H1392" s="1" t="s">
        <v>93</v>
      </c>
      <c r="I1392" s="1">
        <v>375000.0</v>
      </c>
      <c r="J1392" s="1"/>
      <c r="K1392" s="1"/>
      <c r="L1392" s="1"/>
      <c r="M1392" s="1" t="s">
        <v>5873</v>
      </c>
      <c r="N1392" s="1" t="s">
        <v>142</v>
      </c>
      <c r="O1392" s="1" t="s">
        <v>143</v>
      </c>
      <c r="P1392" s="2">
        <v>43781.5325810185</v>
      </c>
      <c r="Q1392" s="1" t="s">
        <v>373</v>
      </c>
      <c r="R1392" s="1"/>
      <c r="S1392" s="1"/>
      <c r="T1392" s="1">
        <v>5103254.0</v>
      </c>
      <c r="U1392" s="1" t="s">
        <v>5275</v>
      </c>
      <c r="V1392" s="1" t="s">
        <v>164</v>
      </c>
      <c r="W1392" s="1" t="s">
        <v>177</v>
      </c>
      <c r="X1392" s="1"/>
      <c r="Y1392" s="1"/>
      <c r="Z1392" s="1" t="s">
        <v>147</v>
      </c>
      <c r="AA1392" s="1" t="s">
        <v>5874</v>
      </c>
      <c r="AB1392" s="1" t="str">
        <f>"***485101**"</f>
        <v>***485101**</v>
      </c>
      <c r="AC1392" s="1"/>
      <c r="AD1392" s="1" t="s">
        <v>116</v>
      </c>
      <c r="AE1392" s="1"/>
      <c r="AF1392" s="1">
        <v>-59.491112</v>
      </c>
      <c r="AG1392" s="1">
        <v>-9.242778</v>
      </c>
      <c r="AH1392" s="1" t="s">
        <v>5875</v>
      </c>
      <c r="AI1392" s="1"/>
      <c r="AJ1392" s="1" t="s">
        <v>172</v>
      </c>
      <c r="AK1392" s="1"/>
      <c r="AL1392" s="1"/>
      <c r="AM1392" s="1" t="s">
        <v>65</v>
      </c>
      <c r="AN1392" s="1" t="s">
        <v>1395</v>
      </c>
      <c r="AO1392" s="1"/>
      <c r="AP1392" s="2">
        <v>43781.5721064815</v>
      </c>
      <c r="AQ1392" s="1"/>
      <c r="AR1392" s="1" t="s">
        <v>871</v>
      </c>
      <c r="AS1392" s="1"/>
      <c r="AT1392" s="2">
        <v>44269.931099537</v>
      </c>
    </row>
    <row r="1393" ht="13.5" customHeight="1">
      <c r="A1393" s="1"/>
      <c r="B1393" s="1" t="s">
        <v>46</v>
      </c>
      <c r="C1393" s="1" t="s">
        <v>47</v>
      </c>
      <c r="D1393" s="1"/>
      <c r="E1393" s="1" t="s">
        <v>5876</v>
      </c>
      <c r="F1393" s="1"/>
      <c r="G1393" s="1"/>
      <c r="H1393" s="1" t="s">
        <v>93</v>
      </c>
      <c r="I1393" s="1">
        <v>1815000.0</v>
      </c>
      <c r="J1393" s="1"/>
      <c r="K1393" s="1"/>
      <c r="L1393" s="1"/>
      <c r="M1393" s="1" t="s">
        <v>5877</v>
      </c>
      <c r="N1393" s="1" t="s">
        <v>142</v>
      </c>
      <c r="O1393" s="1" t="s">
        <v>143</v>
      </c>
      <c r="P1393" s="2">
        <v>43781.528287037</v>
      </c>
      <c r="Q1393" s="1" t="s">
        <v>373</v>
      </c>
      <c r="R1393" s="1"/>
      <c r="S1393" s="1"/>
      <c r="T1393" s="1">
        <v>1505031.0</v>
      </c>
      <c r="U1393" s="1" t="s">
        <v>5123</v>
      </c>
      <c r="V1393" s="1" t="s">
        <v>193</v>
      </c>
      <c r="W1393" s="1" t="s">
        <v>177</v>
      </c>
      <c r="X1393" s="1"/>
      <c r="Y1393" s="1"/>
      <c r="Z1393" s="1" t="s">
        <v>147</v>
      </c>
      <c r="AA1393" s="1" t="s">
        <v>5878</v>
      </c>
      <c r="AB1393" s="1" t="str">
        <f>"***668002**"</f>
        <v>***668002**</v>
      </c>
      <c r="AC1393" s="1"/>
      <c r="AD1393" s="1" t="s">
        <v>2103</v>
      </c>
      <c r="AE1393" s="1"/>
      <c r="AF1393" s="1">
        <v>-55.239723</v>
      </c>
      <c r="AG1393" s="1">
        <v>-6.980834</v>
      </c>
      <c r="AH1393" s="1" t="s">
        <v>5879</v>
      </c>
      <c r="AI1393" s="1"/>
      <c r="AJ1393" s="1" t="s">
        <v>172</v>
      </c>
      <c r="AK1393" s="1"/>
      <c r="AL1393" s="1"/>
      <c r="AM1393" s="1" t="s">
        <v>65</v>
      </c>
      <c r="AN1393" s="1" t="s">
        <v>1395</v>
      </c>
      <c r="AO1393" s="1"/>
      <c r="AP1393" s="2">
        <v>43781.5473726852</v>
      </c>
      <c r="AQ1393" s="1"/>
      <c r="AR1393" s="1" t="s">
        <v>4932</v>
      </c>
      <c r="AS1393" s="1"/>
      <c r="AT1393" s="2">
        <v>44269.931099537</v>
      </c>
    </row>
    <row r="1394" ht="13.5" customHeight="1">
      <c r="A1394" s="1"/>
      <c r="B1394" s="1" t="s">
        <v>46</v>
      </c>
      <c r="C1394" s="1" t="s">
        <v>47</v>
      </c>
      <c r="D1394" s="1"/>
      <c r="E1394" s="1" t="s">
        <v>5880</v>
      </c>
      <c r="F1394" s="1"/>
      <c r="G1394" s="1"/>
      <c r="H1394" s="1" t="s">
        <v>93</v>
      </c>
      <c r="I1394" s="1">
        <v>855000.0</v>
      </c>
      <c r="J1394" s="1"/>
      <c r="K1394" s="1"/>
      <c r="L1394" s="1"/>
      <c r="M1394" s="1" t="s">
        <v>5881</v>
      </c>
      <c r="N1394" s="1" t="s">
        <v>142</v>
      </c>
      <c r="O1394" s="1" t="s">
        <v>143</v>
      </c>
      <c r="P1394" s="2">
        <v>43781.4872800926</v>
      </c>
      <c r="Q1394" s="1" t="s">
        <v>373</v>
      </c>
      <c r="R1394" s="1"/>
      <c r="S1394" s="1"/>
      <c r="T1394" s="1">
        <v>1500602.0</v>
      </c>
      <c r="U1394" s="1" t="s">
        <v>5135</v>
      </c>
      <c r="V1394" s="1" t="s">
        <v>193</v>
      </c>
      <c r="W1394" s="1" t="s">
        <v>177</v>
      </c>
      <c r="X1394" s="1"/>
      <c r="Y1394" s="1"/>
      <c r="Z1394" s="1" t="s">
        <v>147</v>
      </c>
      <c r="AA1394" s="1" t="s">
        <v>5882</v>
      </c>
      <c r="AB1394" s="1" t="str">
        <f>"***124059**"</f>
        <v>***124059**</v>
      </c>
      <c r="AC1394" s="1"/>
      <c r="AD1394" s="1" t="s">
        <v>2103</v>
      </c>
      <c r="AE1394" s="1"/>
      <c r="AF1394" s="1">
        <v>-55.225277</v>
      </c>
      <c r="AG1394" s="1">
        <v>-6.93</v>
      </c>
      <c r="AH1394" s="1" t="s">
        <v>5883</v>
      </c>
      <c r="AI1394" s="1"/>
      <c r="AJ1394" s="1" t="s">
        <v>172</v>
      </c>
      <c r="AK1394" s="1"/>
      <c r="AL1394" s="1"/>
      <c r="AM1394" s="1" t="s">
        <v>65</v>
      </c>
      <c r="AN1394" s="1" t="s">
        <v>1395</v>
      </c>
      <c r="AO1394" s="1"/>
      <c r="AP1394" s="2">
        <v>43781.4950694445</v>
      </c>
      <c r="AQ1394" s="1"/>
      <c r="AR1394" s="1" t="s">
        <v>4932</v>
      </c>
      <c r="AS1394" s="1"/>
      <c r="AT1394" s="2">
        <v>44269.931099537</v>
      </c>
    </row>
    <row r="1395" ht="13.5" customHeight="1">
      <c r="A1395" s="1"/>
      <c r="B1395" s="1" t="s">
        <v>46</v>
      </c>
      <c r="C1395" s="1" t="s">
        <v>657</v>
      </c>
      <c r="D1395" s="1" t="s">
        <v>67</v>
      </c>
      <c r="E1395" s="1" t="s">
        <v>5884</v>
      </c>
      <c r="F1395" s="1"/>
      <c r="G1395" s="1"/>
      <c r="H1395" s="1" t="s">
        <v>93</v>
      </c>
      <c r="I1395" s="1">
        <v>1479.0</v>
      </c>
      <c r="J1395" s="1"/>
      <c r="K1395" s="1"/>
      <c r="L1395" s="1"/>
      <c r="M1395" s="1" t="s">
        <v>5885</v>
      </c>
      <c r="N1395" s="1" t="s">
        <v>142</v>
      </c>
      <c r="O1395" s="1" t="s">
        <v>143</v>
      </c>
      <c r="P1395" s="2">
        <v>43781.4672800926</v>
      </c>
      <c r="Q1395" s="1" t="s">
        <v>373</v>
      </c>
      <c r="R1395" s="1"/>
      <c r="S1395" s="1"/>
      <c r="T1395" s="1">
        <v>2207702.0</v>
      </c>
      <c r="U1395" s="1" t="s">
        <v>1190</v>
      </c>
      <c r="V1395" s="1" t="s">
        <v>895</v>
      </c>
      <c r="W1395" s="1" t="s">
        <v>113</v>
      </c>
      <c r="X1395" s="1"/>
      <c r="Y1395" s="1"/>
      <c r="Z1395" s="1" t="s">
        <v>147</v>
      </c>
      <c r="AA1395" s="1" t="s">
        <v>5886</v>
      </c>
      <c r="AB1395" s="1" t="str">
        <f>"***650823**"</f>
        <v>***650823**</v>
      </c>
      <c r="AC1395" s="1"/>
      <c r="AD1395" s="1" t="s">
        <v>62</v>
      </c>
      <c r="AE1395" s="1"/>
      <c r="AF1395" s="1">
        <v>-41.728333</v>
      </c>
      <c r="AG1395" s="1">
        <v>-2.899722</v>
      </c>
      <c r="AH1395" s="1" t="s">
        <v>5887</v>
      </c>
      <c r="AI1395" s="1"/>
      <c r="AJ1395" s="1" t="s">
        <v>898</v>
      </c>
      <c r="AK1395" s="1"/>
      <c r="AL1395" s="1"/>
      <c r="AM1395" s="1" t="s">
        <v>65</v>
      </c>
      <c r="AN1395" s="1" t="s">
        <v>152</v>
      </c>
      <c r="AO1395" s="1"/>
      <c r="AP1395" s="2">
        <v>43781.4972453704</v>
      </c>
      <c r="AQ1395" s="1"/>
      <c r="AR1395" s="1" t="s">
        <v>280</v>
      </c>
      <c r="AS1395" s="1"/>
      <c r="AT1395" s="2">
        <v>44269.931099537</v>
      </c>
    </row>
    <row r="1396" ht="13.5" customHeight="1">
      <c r="A1396" s="1">
        <v>2035075.0</v>
      </c>
      <c r="B1396" s="1" t="s">
        <v>67</v>
      </c>
      <c r="C1396" s="1" t="s">
        <v>68</v>
      </c>
      <c r="D1396" s="1" t="s">
        <v>46</v>
      </c>
      <c r="E1396" s="1" t="s">
        <v>5888</v>
      </c>
      <c r="F1396" s="1"/>
      <c r="G1396" s="1" t="s">
        <v>70</v>
      </c>
      <c r="H1396" s="1" t="s">
        <v>50</v>
      </c>
      <c r="I1396" s="1">
        <v>3000.0</v>
      </c>
      <c r="J1396" s="1"/>
      <c r="K1396" s="1"/>
      <c r="L1396" s="1" t="s">
        <v>336</v>
      </c>
      <c r="M1396" s="1" t="s">
        <v>5889</v>
      </c>
      <c r="N1396" s="1" t="s">
        <v>283</v>
      </c>
      <c r="O1396" s="1" t="s">
        <v>978</v>
      </c>
      <c r="P1396" s="2">
        <v>43781.4583333333</v>
      </c>
      <c r="Q1396" s="1" t="s">
        <v>74</v>
      </c>
      <c r="R1396" s="3">
        <v>43781.0</v>
      </c>
      <c r="S1396" s="1"/>
      <c r="T1396" s="1">
        <v>5106190.0</v>
      </c>
      <c r="U1396" s="1" t="s">
        <v>5890</v>
      </c>
      <c r="V1396" s="1" t="s">
        <v>164</v>
      </c>
      <c r="W1396" s="1" t="s">
        <v>177</v>
      </c>
      <c r="X1396" s="1"/>
      <c r="Y1396" s="1" t="str">
        <f>"02054000227202015"</f>
        <v>02054000227202015</v>
      </c>
      <c r="Z1396" s="1" t="s">
        <v>980</v>
      </c>
      <c r="AA1396" s="1" t="s">
        <v>5891</v>
      </c>
      <c r="AB1396" s="1" t="str">
        <f>"***234061**"</f>
        <v>***234061**</v>
      </c>
      <c r="AC1396" s="1"/>
      <c r="AD1396" s="1"/>
      <c r="AE1396" s="1"/>
      <c r="AF1396" s="1">
        <v>-55.188335</v>
      </c>
      <c r="AG1396" s="1">
        <v>-10.849722</v>
      </c>
      <c r="AH1396" s="1" t="s">
        <v>5892</v>
      </c>
      <c r="AI1396" s="1"/>
      <c r="AJ1396" s="1" t="s">
        <v>336</v>
      </c>
      <c r="AK1396" s="1"/>
      <c r="AL1396" s="1" t="s">
        <v>79</v>
      </c>
      <c r="AM1396" s="1" t="s">
        <v>65</v>
      </c>
      <c r="AN1396" s="1" t="s">
        <v>337</v>
      </c>
      <c r="AO1396" s="2">
        <v>43894.0</v>
      </c>
      <c r="AP1396" s="2">
        <v>43894.5153125</v>
      </c>
      <c r="AQ1396" s="1" t="s">
        <v>80</v>
      </c>
      <c r="AR1396" s="1" t="s">
        <v>5893</v>
      </c>
      <c r="AS1396" s="1"/>
      <c r="AT1396" s="2">
        <v>44269.931099537</v>
      </c>
    </row>
    <row r="1397" ht="13.5" customHeight="1">
      <c r="A1397" s="1">
        <v>2040245.0</v>
      </c>
      <c r="B1397" s="1" t="s">
        <v>67</v>
      </c>
      <c r="C1397" s="1" t="s">
        <v>68</v>
      </c>
      <c r="D1397" s="1" t="s">
        <v>46</v>
      </c>
      <c r="E1397" s="1" t="s">
        <v>5894</v>
      </c>
      <c r="F1397" s="1"/>
      <c r="G1397" s="1" t="s">
        <v>70</v>
      </c>
      <c r="H1397" s="1" t="s">
        <v>93</v>
      </c>
      <c r="I1397" s="1">
        <v>16500.0</v>
      </c>
      <c r="J1397" s="1"/>
      <c r="K1397" s="1"/>
      <c r="L1397" s="1" t="s">
        <v>371</v>
      </c>
      <c r="M1397" s="1" t="s">
        <v>5895</v>
      </c>
      <c r="N1397" s="1" t="s">
        <v>142</v>
      </c>
      <c r="O1397" s="1" t="s">
        <v>143</v>
      </c>
      <c r="P1397" s="2">
        <v>43781.4583333333</v>
      </c>
      <c r="Q1397" s="1" t="s">
        <v>373</v>
      </c>
      <c r="R1397" s="3">
        <v>43781.0</v>
      </c>
      <c r="S1397" s="1"/>
      <c r="T1397" s="1">
        <v>5218805.0</v>
      </c>
      <c r="U1397" s="1" t="s">
        <v>374</v>
      </c>
      <c r="V1397" s="1" t="s">
        <v>375</v>
      </c>
      <c r="W1397" s="1" t="s">
        <v>177</v>
      </c>
      <c r="X1397" s="1"/>
      <c r="Y1397" s="1"/>
      <c r="Z1397" s="1" t="s">
        <v>147</v>
      </c>
      <c r="AA1397" s="1" t="s">
        <v>5896</v>
      </c>
      <c r="AB1397" s="1" t="str">
        <f>"10145867000199"</f>
        <v>10145867000199</v>
      </c>
      <c r="AC1397" s="1"/>
      <c r="AD1397" s="1"/>
      <c r="AE1397" s="1"/>
      <c r="AF1397" s="1">
        <v>-50.961666</v>
      </c>
      <c r="AG1397" s="1">
        <v>-17.824722</v>
      </c>
      <c r="AH1397" s="1" t="s">
        <v>5897</v>
      </c>
      <c r="AI1397" s="1"/>
      <c r="AJ1397" s="1" t="s">
        <v>371</v>
      </c>
      <c r="AK1397" s="1"/>
      <c r="AL1397" s="1" t="s">
        <v>79</v>
      </c>
      <c r="AM1397" s="1" t="s">
        <v>65</v>
      </c>
      <c r="AN1397" s="1" t="s">
        <v>3712</v>
      </c>
      <c r="AO1397" s="2">
        <v>44118.0</v>
      </c>
      <c r="AP1397" s="2">
        <v>44118.4349074074</v>
      </c>
      <c r="AQ1397" s="1" t="s">
        <v>80</v>
      </c>
      <c r="AR1397" s="1" t="s">
        <v>379</v>
      </c>
      <c r="AS1397" s="1"/>
      <c r="AT1397" s="2">
        <v>44269.931099537</v>
      </c>
    </row>
    <row r="1398" ht="13.5" customHeight="1">
      <c r="A1398" s="1">
        <v>2035074.0</v>
      </c>
      <c r="B1398" s="1" t="s">
        <v>67</v>
      </c>
      <c r="C1398" s="1" t="s">
        <v>68</v>
      </c>
      <c r="D1398" s="1" t="s">
        <v>46</v>
      </c>
      <c r="E1398" s="1" t="s">
        <v>5898</v>
      </c>
      <c r="F1398" s="1"/>
      <c r="G1398" s="1" t="s">
        <v>70</v>
      </c>
      <c r="H1398" s="1" t="s">
        <v>50</v>
      </c>
      <c r="I1398" s="1">
        <v>3000.0</v>
      </c>
      <c r="J1398" s="1"/>
      <c r="K1398" s="1"/>
      <c r="L1398" s="1" t="s">
        <v>336</v>
      </c>
      <c r="M1398" s="1" t="s">
        <v>5899</v>
      </c>
      <c r="N1398" s="1" t="s">
        <v>283</v>
      </c>
      <c r="O1398" s="1" t="s">
        <v>978</v>
      </c>
      <c r="P1398" s="2">
        <v>43781.4166666667</v>
      </c>
      <c r="Q1398" s="1" t="s">
        <v>74</v>
      </c>
      <c r="R1398" s="3">
        <v>43781.0</v>
      </c>
      <c r="S1398" s="1"/>
      <c r="T1398" s="1">
        <v>5106190.0</v>
      </c>
      <c r="U1398" s="1" t="s">
        <v>5890</v>
      </c>
      <c r="V1398" s="1" t="s">
        <v>164</v>
      </c>
      <c r="W1398" s="1" t="s">
        <v>177</v>
      </c>
      <c r="X1398" s="1"/>
      <c r="Y1398" s="1" t="str">
        <f>"02054000226202062"</f>
        <v>02054000226202062</v>
      </c>
      <c r="Z1398" s="1" t="s">
        <v>980</v>
      </c>
      <c r="AA1398" s="1" t="s">
        <v>5900</v>
      </c>
      <c r="AB1398" s="1" t="str">
        <f>"***258801**"</f>
        <v>***258801**</v>
      </c>
      <c r="AC1398" s="1"/>
      <c r="AD1398" s="1"/>
      <c r="AE1398" s="1"/>
      <c r="AF1398" s="1">
        <v>-55.188335</v>
      </c>
      <c r="AG1398" s="1">
        <v>-10.849722</v>
      </c>
      <c r="AH1398" s="1" t="s">
        <v>5892</v>
      </c>
      <c r="AI1398" s="1"/>
      <c r="AJ1398" s="1" t="s">
        <v>336</v>
      </c>
      <c r="AK1398" s="1"/>
      <c r="AL1398" s="1" t="s">
        <v>79</v>
      </c>
      <c r="AM1398" s="1" t="s">
        <v>65</v>
      </c>
      <c r="AN1398" s="1" t="s">
        <v>337</v>
      </c>
      <c r="AO1398" s="2">
        <v>43894.0</v>
      </c>
      <c r="AP1398" s="2">
        <v>43894.5149189815</v>
      </c>
      <c r="AQ1398" s="1" t="s">
        <v>80</v>
      </c>
      <c r="AR1398" s="1" t="s">
        <v>5893</v>
      </c>
      <c r="AS1398" s="1"/>
      <c r="AT1398" s="2">
        <v>44269.931099537</v>
      </c>
    </row>
    <row r="1399" ht="13.5" customHeight="1">
      <c r="A1399" s="1">
        <v>2038981.0</v>
      </c>
      <c r="B1399" s="1" t="s">
        <v>67</v>
      </c>
      <c r="C1399" s="1" t="s">
        <v>68</v>
      </c>
      <c r="D1399" s="1" t="s">
        <v>46</v>
      </c>
      <c r="E1399" s="1" t="s">
        <v>5901</v>
      </c>
      <c r="F1399" s="1"/>
      <c r="G1399" s="1" t="s">
        <v>70</v>
      </c>
      <c r="H1399" s="1" t="s">
        <v>93</v>
      </c>
      <c r="I1399" s="1">
        <v>1479.0</v>
      </c>
      <c r="J1399" s="1"/>
      <c r="K1399" s="1"/>
      <c r="L1399" s="1" t="s">
        <v>898</v>
      </c>
      <c r="M1399" s="1" t="s">
        <v>5902</v>
      </c>
      <c r="N1399" s="1" t="s">
        <v>142</v>
      </c>
      <c r="O1399" s="1" t="s">
        <v>143</v>
      </c>
      <c r="P1399" s="2">
        <v>43781.4166666667</v>
      </c>
      <c r="Q1399" s="1" t="s">
        <v>373</v>
      </c>
      <c r="R1399" s="3">
        <v>43781.0</v>
      </c>
      <c r="S1399" s="1"/>
      <c r="T1399" s="1">
        <v>2207702.0</v>
      </c>
      <c r="U1399" s="1" t="s">
        <v>1190</v>
      </c>
      <c r="V1399" s="1" t="s">
        <v>895</v>
      </c>
      <c r="W1399" s="1" t="s">
        <v>113</v>
      </c>
      <c r="X1399" s="1"/>
      <c r="Y1399" s="1" t="str">
        <f>"02020001214202042"</f>
        <v>02020001214202042</v>
      </c>
      <c r="Z1399" s="1" t="s">
        <v>147</v>
      </c>
      <c r="AA1399" s="1" t="s">
        <v>5903</v>
      </c>
      <c r="AB1399" s="1" t="str">
        <f>"***650823**"</f>
        <v>***650823**</v>
      </c>
      <c r="AC1399" s="1"/>
      <c r="AD1399" s="1"/>
      <c r="AE1399" s="1"/>
      <c r="AF1399" s="1">
        <v>-41.778332</v>
      </c>
      <c r="AG1399" s="1">
        <v>-2.896667</v>
      </c>
      <c r="AH1399" s="1" t="s">
        <v>5904</v>
      </c>
      <c r="AI1399" s="1"/>
      <c r="AJ1399" s="1" t="s">
        <v>898</v>
      </c>
      <c r="AK1399" s="1"/>
      <c r="AL1399" s="1" t="s">
        <v>79</v>
      </c>
      <c r="AM1399" s="1" t="s">
        <v>65</v>
      </c>
      <c r="AN1399" s="1" t="s">
        <v>152</v>
      </c>
      <c r="AO1399" s="2">
        <v>44050.0</v>
      </c>
      <c r="AP1399" s="2">
        <v>44050.4902314815</v>
      </c>
      <c r="AQ1399" s="1" t="s">
        <v>80</v>
      </c>
      <c r="AR1399" s="1" t="s">
        <v>181</v>
      </c>
      <c r="AS1399" s="1"/>
      <c r="AT1399" s="2">
        <v>44269.931099537</v>
      </c>
    </row>
    <row r="1400" ht="13.5" customHeight="1">
      <c r="A1400" s="1">
        <v>2039948.0</v>
      </c>
      <c r="B1400" s="1" t="s">
        <v>67</v>
      </c>
      <c r="C1400" s="1" t="s">
        <v>68</v>
      </c>
      <c r="D1400" s="1" t="s">
        <v>46</v>
      </c>
      <c r="E1400" s="1" t="s">
        <v>5905</v>
      </c>
      <c r="F1400" s="1"/>
      <c r="G1400" s="1" t="s">
        <v>70</v>
      </c>
      <c r="H1400" s="1" t="s">
        <v>93</v>
      </c>
      <c r="I1400" s="1">
        <v>4500.0</v>
      </c>
      <c r="J1400" s="1"/>
      <c r="K1400" s="1"/>
      <c r="L1400" s="1" t="s">
        <v>406</v>
      </c>
      <c r="M1400" s="1" t="s">
        <v>5906</v>
      </c>
      <c r="N1400" s="1" t="s">
        <v>95</v>
      </c>
      <c r="O1400" s="1" t="s">
        <v>96</v>
      </c>
      <c r="P1400" s="2">
        <v>43781.4166666667</v>
      </c>
      <c r="Q1400" s="1" t="s">
        <v>373</v>
      </c>
      <c r="R1400" s="3">
        <v>43781.0</v>
      </c>
      <c r="S1400" s="1"/>
      <c r="T1400" s="1">
        <v>3205010.0</v>
      </c>
      <c r="U1400" s="1" t="s">
        <v>5907</v>
      </c>
      <c r="V1400" s="1" t="s">
        <v>403</v>
      </c>
      <c r="W1400" s="1" t="s">
        <v>59</v>
      </c>
      <c r="X1400" s="1"/>
      <c r="Y1400" s="1"/>
      <c r="Z1400" s="1" t="s">
        <v>98</v>
      </c>
      <c r="AA1400" s="1" t="s">
        <v>5908</v>
      </c>
      <c r="AB1400" s="1" t="str">
        <f>"***958967**"</f>
        <v>***958967**</v>
      </c>
      <c r="AC1400" s="1"/>
      <c r="AD1400" s="1"/>
      <c r="AE1400" s="1"/>
      <c r="AF1400" s="1">
        <v>-40.145</v>
      </c>
      <c r="AG1400" s="1">
        <v>-19.091946</v>
      </c>
      <c r="AH1400" s="1" t="s">
        <v>5909</v>
      </c>
      <c r="AI1400" s="1"/>
      <c r="AJ1400" s="1" t="s">
        <v>406</v>
      </c>
      <c r="AK1400" s="1"/>
      <c r="AL1400" s="1" t="s">
        <v>79</v>
      </c>
      <c r="AM1400" s="1" t="s">
        <v>65</v>
      </c>
      <c r="AN1400" s="1" t="s">
        <v>1599</v>
      </c>
      <c r="AO1400" s="2">
        <v>44078.0</v>
      </c>
      <c r="AP1400" s="2">
        <v>44078.4753125</v>
      </c>
      <c r="AQ1400" s="1" t="s">
        <v>80</v>
      </c>
      <c r="AR1400" s="1" t="s">
        <v>5910</v>
      </c>
      <c r="AS1400" s="1" t="s">
        <v>5911</v>
      </c>
      <c r="AT1400" s="2">
        <v>44269.931099537</v>
      </c>
    </row>
    <row r="1401" ht="13.5" customHeight="1">
      <c r="A1401" s="1"/>
      <c r="B1401" s="1" t="s">
        <v>46</v>
      </c>
      <c r="C1401" s="1" t="s">
        <v>47</v>
      </c>
      <c r="D1401" s="1"/>
      <c r="E1401" s="1" t="s">
        <v>5912</v>
      </c>
      <c r="F1401" s="1"/>
      <c r="G1401" s="1" t="s">
        <v>49</v>
      </c>
      <c r="H1401" s="1" t="s">
        <v>93</v>
      </c>
      <c r="I1401" s="1">
        <v>4762500.0</v>
      </c>
      <c r="J1401" s="1"/>
      <c r="K1401" s="1"/>
      <c r="L1401" s="1"/>
      <c r="M1401" s="1" t="s">
        <v>5913</v>
      </c>
      <c r="N1401" s="1" t="s">
        <v>142</v>
      </c>
      <c r="O1401" s="1" t="s">
        <v>143</v>
      </c>
      <c r="P1401" s="2">
        <v>43781.3656712963</v>
      </c>
      <c r="Q1401" s="1" t="s">
        <v>373</v>
      </c>
      <c r="R1401" s="1"/>
      <c r="S1401" s="1"/>
      <c r="T1401" s="1">
        <v>1500859.0</v>
      </c>
      <c r="U1401" s="1" t="s">
        <v>3491</v>
      </c>
      <c r="V1401" s="1" t="s">
        <v>193</v>
      </c>
      <c r="W1401" s="1" t="s">
        <v>177</v>
      </c>
      <c r="X1401" s="1"/>
      <c r="Y1401" s="1"/>
      <c r="Z1401" s="1" t="s">
        <v>147</v>
      </c>
      <c r="AA1401" s="1" t="s">
        <v>5914</v>
      </c>
      <c r="AB1401" s="1" t="str">
        <f>"***931012**"</f>
        <v>***931012**</v>
      </c>
      <c r="AC1401" s="1"/>
      <c r="AD1401" s="1" t="s">
        <v>2103</v>
      </c>
      <c r="AE1401" s="1"/>
      <c r="AF1401" s="1">
        <v>-51.019444</v>
      </c>
      <c r="AG1401" s="1">
        <v>-3.088055</v>
      </c>
      <c r="AH1401" s="1" t="s">
        <v>5915</v>
      </c>
      <c r="AI1401" s="1"/>
      <c r="AJ1401" s="1" t="s">
        <v>172</v>
      </c>
      <c r="AK1401" s="1"/>
      <c r="AL1401" s="1"/>
      <c r="AM1401" s="1" t="s">
        <v>65</v>
      </c>
      <c r="AN1401" s="1" t="s">
        <v>1395</v>
      </c>
      <c r="AO1401" s="1"/>
      <c r="AP1401" s="2">
        <v>43781.3772222222</v>
      </c>
      <c r="AQ1401" s="1"/>
      <c r="AR1401" s="1" t="s">
        <v>871</v>
      </c>
      <c r="AS1401" s="1" t="s">
        <v>5916</v>
      </c>
      <c r="AT1401" s="2">
        <v>44269.931099537</v>
      </c>
    </row>
    <row r="1402" ht="13.5" customHeight="1">
      <c r="A1402" s="1"/>
      <c r="B1402" s="1" t="s">
        <v>46</v>
      </c>
      <c r="C1402" s="1" t="s">
        <v>47</v>
      </c>
      <c r="D1402" s="1"/>
      <c r="E1402" s="1" t="s">
        <v>5917</v>
      </c>
      <c r="F1402" s="1"/>
      <c r="G1402" s="1" t="s">
        <v>49</v>
      </c>
      <c r="H1402" s="1" t="s">
        <v>93</v>
      </c>
      <c r="I1402" s="1">
        <v>4762500.0</v>
      </c>
      <c r="J1402" s="1"/>
      <c r="K1402" s="1"/>
      <c r="L1402" s="1"/>
      <c r="M1402" s="1" t="s">
        <v>5918</v>
      </c>
      <c r="N1402" s="1" t="s">
        <v>142</v>
      </c>
      <c r="O1402" s="1" t="s">
        <v>143</v>
      </c>
      <c r="P1402" s="2">
        <v>43781.294537037</v>
      </c>
      <c r="Q1402" s="1" t="s">
        <v>373</v>
      </c>
      <c r="R1402" s="1"/>
      <c r="S1402" s="1"/>
      <c r="T1402" s="1">
        <v>1505809.0</v>
      </c>
      <c r="U1402" s="1" t="s">
        <v>3084</v>
      </c>
      <c r="V1402" s="1" t="s">
        <v>193</v>
      </c>
      <c r="W1402" s="1" t="s">
        <v>177</v>
      </c>
      <c r="X1402" s="1"/>
      <c r="Y1402" s="1"/>
      <c r="Z1402" s="1" t="s">
        <v>147</v>
      </c>
      <c r="AA1402" s="1" t="s">
        <v>5919</v>
      </c>
      <c r="AB1402" s="1" t="str">
        <f>"***724380**"</f>
        <v>***724380**</v>
      </c>
      <c r="AC1402" s="1"/>
      <c r="AD1402" s="1" t="s">
        <v>116</v>
      </c>
      <c r="AE1402" s="1"/>
      <c r="AF1402" s="1">
        <v>-50.988056</v>
      </c>
      <c r="AG1402" s="1">
        <v>-3.104722</v>
      </c>
      <c r="AH1402" s="1" t="s">
        <v>5920</v>
      </c>
      <c r="AI1402" s="1"/>
      <c r="AJ1402" s="1" t="s">
        <v>172</v>
      </c>
      <c r="AK1402" s="1"/>
      <c r="AL1402" s="1"/>
      <c r="AM1402" s="1" t="s">
        <v>65</v>
      </c>
      <c r="AN1402" s="1" t="s">
        <v>1395</v>
      </c>
      <c r="AO1402" s="1"/>
      <c r="AP1402" s="2">
        <v>43781.3507407407</v>
      </c>
      <c r="AQ1402" s="1"/>
      <c r="AR1402" s="1" t="s">
        <v>871</v>
      </c>
      <c r="AS1402" s="1" t="s">
        <v>5921</v>
      </c>
      <c r="AT1402" s="2">
        <v>44269.931099537</v>
      </c>
    </row>
    <row r="1403" ht="13.5" customHeight="1">
      <c r="A1403" s="1"/>
      <c r="B1403" s="1" t="s">
        <v>46</v>
      </c>
      <c r="C1403" s="1" t="s">
        <v>47</v>
      </c>
      <c r="D1403" s="1"/>
      <c r="E1403" s="1" t="s">
        <v>5922</v>
      </c>
      <c r="F1403" s="1"/>
      <c r="G1403" s="1"/>
      <c r="H1403" s="1" t="s">
        <v>93</v>
      </c>
      <c r="I1403" s="1">
        <v>57000.0</v>
      </c>
      <c r="J1403" s="1"/>
      <c r="K1403" s="1"/>
      <c r="L1403" s="1"/>
      <c r="M1403" s="1" t="s">
        <v>5923</v>
      </c>
      <c r="N1403" s="1" t="s">
        <v>142</v>
      </c>
      <c r="O1403" s="1" t="s">
        <v>143</v>
      </c>
      <c r="P1403" s="2">
        <v>43780.8630439815</v>
      </c>
      <c r="Q1403" s="1" t="s">
        <v>373</v>
      </c>
      <c r="R1403" s="1"/>
      <c r="S1403" s="1"/>
      <c r="T1403" s="1">
        <v>1100338.0</v>
      </c>
      <c r="U1403" s="1" t="s">
        <v>5017</v>
      </c>
      <c r="V1403" s="1" t="s">
        <v>448</v>
      </c>
      <c r="W1403" s="1" t="s">
        <v>177</v>
      </c>
      <c r="X1403" s="1"/>
      <c r="Y1403" s="1"/>
      <c r="Z1403" s="1" t="s">
        <v>147</v>
      </c>
      <c r="AA1403" s="1" t="s">
        <v>5924</v>
      </c>
      <c r="AB1403" s="1" t="str">
        <f>"***244202**"</f>
        <v>***244202**</v>
      </c>
      <c r="AC1403" s="1"/>
      <c r="AD1403" s="1" t="s">
        <v>116</v>
      </c>
      <c r="AE1403" s="1"/>
      <c r="AF1403" s="1">
        <v>-65.087227</v>
      </c>
      <c r="AG1403" s="1">
        <v>-10.035833</v>
      </c>
      <c r="AH1403" s="1" t="s">
        <v>5925</v>
      </c>
      <c r="AI1403" s="1"/>
      <c r="AJ1403" s="1" t="s">
        <v>172</v>
      </c>
      <c r="AK1403" s="1"/>
      <c r="AL1403" s="1"/>
      <c r="AM1403" s="1" t="s">
        <v>65</v>
      </c>
      <c r="AN1403" s="1" t="s">
        <v>1395</v>
      </c>
      <c r="AO1403" s="1"/>
      <c r="AP1403" s="2">
        <v>43783.8428009259</v>
      </c>
      <c r="AQ1403" s="1"/>
      <c r="AR1403" s="1" t="s">
        <v>871</v>
      </c>
      <c r="AS1403" s="1"/>
      <c r="AT1403" s="2">
        <v>44269.931099537</v>
      </c>
    </row>
    <row r="1404" ht="13.5" customHeight="1">
      <c r="A1404" s="1">
        <v>2044087.0</v>
      </c>
      <c r="B1404" s="1" t="s">
        <v>67</v>
      </c>
      <c r="C1404" s="1" t="s">
        <v>68</v>
      </c>
      <c r="D1404" s="1" t="s">
        <v>46</v>
      </c>
      <c r="E1404" s="1" t="s">
        <v>5926</v>
      </c>
      <c r="F1404" s="1"/>
      <c r="G1404" s="1" t="s">
        <v>70</v>
      </c>
      <c r="H1404" s="1" t="s">
        <v>93</v>
      </c>
      <c r="I1404" s="1">
        <v>38900.0</v>
      </c>
      <c r="J1404" s="1"/>
      <c r="K1404" s="1"/>
      <c r="L1404" s="1" t="s">
        <v>172</v>
      </c>
      <c r="M1404" s="1" t="s">
        <v>5927</v>
      </c>
      <c r="N1404" s="1" t="s">
        <v>142</v>
      </c>
      <c r="O1404" s="1" t="s">
        <v>143</v>
      </c>
      <c r="P1404" s="2">
        <v>43780.8333333333</v>
      </c>
      <c r="Q1404" s="1" t="s">
        <v>373</v>
      </c>
      <c r="R1404" s="3">
        <v>43780.0</v>
      </c>
      <c r="S1404" s="1"/>
      <c r="T1404" s="1">
        <v>1100338.0</v>
      </c>
      <c r="U1404" s="1" t="s">
        <v>5017</v>
      </c>
      <c r="V1404" s="1" t="s">
        <v>448</v>
      </c>
      <c r="W1404" s="1" t="s">
        <v>177</v>
      </c>
      <c r="X1404" s="1"/>
      <c r="Y1404" s="1" t="str">
        <f>"02001002931202010"</f>
        <v>02001002931202010</v>
      </c>
      <c r="Z1404" s="1" t="s">
        <v>147</v>
      </c>
      <c r="AA1404" s="1" t="s">
        <v>5928</v>
      </c>
      <c r="AB1404" s="1" t="str">
        <f>"***003922**"</f>
        <v>***003922**</v>
      </c>
      <c r="AC1404" s="1"/>
      <c r="AD1404" s="1"/>
      <c r="AE1404" s="1"/>
      <c r="AF1404" s="1">
        <v>-65.330551</v>
      </c>
      <c r="AG1404" s="1">
        <v>-10.409721</v>
      </c>
      <c r="AH1404" s="1" t="s">
        <v>5929</v>
      </c>
      <c r="AI1404" s="1"/>
      <c r="AJ1404" s="1" t="s">
        <v>172</v>
      </c>
      <c r="AK1404" s="1"/>
      <c r="AL1404" s="1" t="s">
        <v>79</v>
      </c>
      <c r="AM1404" s="1" t="s">
        <v>65</v>
      </c>
      <c r="AN1404" s="1" t="s">
        <v>1395</v>
      </c>
      <c r="AO1404" s="2">
        <v>44260.0</v>
      </c>
      <c r="AP1404" s="2">
        <v>44260.809537037</v>
      </c>
      <c r="AQ1404" s="1" t="s">
        <v>80</v>
      </c>
      <c r="AR1404" s="1" t="s">
        <v>650</v>
      </c>
      <c r="AS1404" s="1"/>
      <c r="AT1404" s="2">
        <v>44269.931099537</v>
      </c>
    </row>
    <row r="1405" ht="13.5" customHeight="1">
      <c r="A1405" s="1"/>
      <c r="B1405" s="1" t="s">
        <v>46</v>
      </c>
      <c r="C1405" s="1" t="s">
        <v>47</v>
      </c>
      <c r="D1405" s="1"/>
      <c r="E1405" s="1" t="s">
        <v>5930</v>
      </c>
      <c r="F1405" s="1"/>
      <c r="G1405" s="1" t="s">
        <v>49</v>
      </c>
      <c r="H1405" s="1" t="s">
        <v>93</v>
      </c>
      <c r="I1405" s="1">
        <v>10686.0</v>
      </c>
      <c r="J1405" s="1"/>
      <c r="K1405" s="1"/>
      <c r="L1405" s="1"/>
      <c r="M1405" s="1" t="s">
        <v>5931</v>
      </c>
      <c r="N1405" s="1" t="s">
        <v>142</v>
      </c>
      <c r="O1405" s="1" t="s">
        <v>143</v>
      </c>
      <c r="P1405" s="2">
        <v>43780.8093171296</v>
      </c>
      <c r="Q1405" s="1" t="s">
        <v>74</v>
      </c>
      <c r="R1405" s="1"/>
      <c r="S1405" s="1"/>
      <c r="T1405" s="1">
        <v>5106190.0</v>
      </c>
      <c r="U1405" s="1" t="s">
        <v>5890</v>
      </c>
      <c r="V1405" s="1" t="s">
        <v>164</v>
      </c>
      <c r="W1405" s="1" t="s">
        <v>177</v>
      </c>
      <c r="X1405" s="1"/>
      <c r="Y1405" s="1"/>
      <c r="Z1405" s="1" t="s">
        <v>147</v>
      </c>
      <c r="AA1405" s="1" t="s">
        <v>5932</v>
      </c>
      <c r="AB1405" s="1" t="str">
        <f>"15462602000138"</f>
        <v>15462602000138</v>
      </c>
      <c r="AC1405" s="1"/>
      <c r="AD1405" s="1" t="s">
        <v>149</v>
      </c>
      <c r="AE1405" s="1"/>
      <c r="AF1405" s="1">
        <v>-55.188335</v>
      </c>
      <c r="AG1405" s="1">
        <v>-10.849722</v>
      </c>
      <c r="AH1405" s="1" t="s">
        <v>5933</v>
      </c>
      <c r="AI1405" s="1"/>
      <c r="AJ1405" s="1" t="s">
        <v>336</v>
      </c>
      <c r="AK1405" s="1"/>
      <c r="AL1405" s="1"/>
      <c r="AM1405" s="1" t="s">
        <v>65</v>
      </c>
      <c r="AN1405" s="1" t="s">
        <v>337</v>
      </c>
      <c r="AO1405" s="1"/>
      <c r="AP1405" s="2">
        <v>44060.8647800926</v>
      </c>
      <c r="AQ1405" s="1"/>
      <c r="AR1405" s="1" t="s">
        <v>613</v>
      </c>
      <c r="AS1405" s="1"/>
      <c r="AT1405" s="2">
        <v>44269.931099537</v>
      </c>
    </row>
    <row r="1406" ht="13.5" customHeight="1">
      <c r="A1406" s="1"/>
      <c r="B1406" s="1" t="s">
        <v>46</v>
      </c>
      <c r="C1406" s="1" t="s">
        <v>47</v>
      </c>
      <c r="D1406" s="1"/>
      <c r="E1406" s="1" t="s">
        <v>5934</v>
      </c>
      <c r="F1406" s="1"/>
      <c r="G1406" s="1" t="s">
        <v>49</v>
      </c>
      <c r="H1406" s="1" t="s">
        <v>93</v>
      </c>
      <c r="I1406" s="1">
        <v>3000.0</v>
      </c>
      <c r="J1406" s="1"/>
      <c r="K1406" s="1"/>
      <c r="L1406" s="1"/>
      <c r="M1406" s="1" t="s">
        <v>5935</v>
      </c>
      <c r="N1406" s="1" t="s">
        <v>142</v>
      </c>
      <c r="O1406" s="1" t="s">
        <v>143</v>
      </c>
      <c r="P1406" s="2">
        <v>43780.8064930556</v>
      </c>
      <c r="Q1406" s="1" t="s">
        <v>74</v>
      </c>
      <c r="R1406" s="3">
        <v>43780.0</v>
      </c>
      <c r="S1406" s="1"/>
      <c r="T1406" s="1">
        <v>2502607.0</v>
      </c>
      <c r="U1406" s="1" t="s">
        <v>5936</v>
      </c>
      <c r="V1406" s="1" t="s">
        <v>728</v>
      </c>
      <c r="W1406" s="1" t="s">
        <v>113</v>
      </c>
      <c r="X1406" s="1"/>
      <c r="Y1406" s="1"/>
      <c r="Z1406" s="1" t="s">
        <v>147</v>
      </c>
      <c r="AA1406" s="1" t="s">
        <v>5937</v>
      </c>
      <c r="AB1406" s="1" t="str">
        <f>"***755594**"</f>
        <v>***755594**</v>
      </c>
      <c r="AC1406" s="1"/>
      <c r="AD1406" s="1" t="s">
        <v>116</v>
      </c>
      <c r="AE1406" s="1"/>
      <c r="AF1406" s="1">
        <v>-38.169697</v>
      </c>
      <c r="AG1406" s="1">
        <v>-7.17875</v>
      </c>
      <c r="AH1406" s="1" t="s">
        <v>5938</v>
      </c>
      <c r="AI1406" s="1"/>
      <c r="AJ1406" s="1" t="s">
        <v>731</v>
      </c>
      <c r="AK1406" s="1"/>
      <c r="AL1406" s="1"/>
      <c r="AM1406" s="1" t="s">
        <v>65</v>
      </c>
      <c r="AN1406" s="1" t="s">
        <v>5939</v>
      </c>
      <c r="AO1406" s="1"/>
      <c r="AP1406" s="2">
        <v>44075.8518402778</v>
      </c>
      <c r="AQ1406" s="1"/>
      <c r="AR1406" s="1" t="s">
        <v>2055</v>
      </c>
      <c r="AS1406" s="1"/>
      <c r="AT1406" s="2">
        <v>44269.931099537</v>
      </c>
    </row>
    <row r="1407" ht="13.5" customHeight="1">
      <c r="A1407" s="1"/>
      <c r="B1407" s="1" t="s">
        <v>46</v>
      </c>
      <c r="C1407" s="1" t="s">
        <v>47</v>
      </c>
      <c r="D1407" s="1"/>
      <c r="E1407" s="1" t="s">
        <v>5940</v>
      </c>
      <c r="F1407" s="1"/>
      <c r="G1407" s="1" t="s">
        <v>49</v>
      </c>
      <c r="H1407" s="1" t="s">
        <v>93</v>
      </c>
      <c r="I1407" s="1">
        <v>10686.0</v>
      </c>
      <c r="J1407" s="1"/>
      <c r="K1407" s="1"/>
      <c r="L1407" s="1"/>
      <c r="M1407" s="1" t="s">
        <v>5941</v>
      </c>
      <c r="N1407" s="1" t="s">
        <v>142</v>
      </c>
      <c r="O1407" s="1" t="s">
        <v>143</v>
      </c>
      <c r="P1407" s="2">
        <v>43780.7949884259</v>
      </c>
      <c r="Q1407" s="1" t="s">
        <v>74</v>
      </c>
      <c r="R1407" s="1"/>
      <c r="S1407" s="1"/>
      <c r="T1407" s="1">
        <v>5106190.0</v>
      </c>
      <c r="U1407" s="1" t="s">
        <v>5890</v>
      </c>
      <c r="V1407" s="1" t="s">
        <v>164</v>
      </c>
      <c r="W1407" s="1" t="s">
        <v>177</v>
      </c>
      <c r="X1407" s="1"/>
      <c r="Y1407" s="1"/>
      <c r="Z1407" s="1" t="s">
        <v>147</v>
      </c>
      <c r="AA1407" s="1" t="s">
        <v>5942</v>
      </c>
      <c r="AB1407" s="1" t="str">
        <f>"29018664000160"</f>
        <v>29018664000160</v>
      </c>
      <c r="AC1407" s="1"/>
      <c r="AD1407" s="1" t="s">
        <v>149</v>
      </c>
      <c r="AE1407" s="1"/>
      <c r="AF1407" s="1">
        <v>-55.188335</v>
      </c>
      <c r="AG1407" s="1">
        <v>-10.849722</v>
      </c>
      <c r="AH1407" s="1" t="s">
        <v>5933</v>
      </c>
      <c r="AI1407" s="1"/>
      <c r="AJ1407" s="1" t="s">
        <v>336</v>
      </c>
      <c r="AK1407" s="1"/>
      <c r="AL1407" s="1"/>
      <c r="AM1407" s="1" t="s">
        <v>65</v>
      </c>
      <c r="AN1407" s="1" t="s">
        <v>337</v>
      </c>
      <c r="AO1407" s="1"/>
      <c r="AP1407" s="2">
        <v>44060.8648611111</v>
      </c>
      <c r="AQ1407" s="1"/>
      <c r="AR1407" s="1" t="s">
        <v>613</v>
      </c>
      <c r="AS1407" s="1"/>
      <c r="AT1407" s="2">
        <v>44269.931099537</v>
      </c>
    </row>
    <row r="1408" ht="13.5" customHeight="1">
      <c r="A1408" s="1"/>
      <c r="B1408" s="1" t="s">
        <v>46</v>
      </c>
      <c r="C1408" s="1" t="s">
        <v>47</v>
      </c>
      <c r="D1408" s="1"/>
      <c r="E1408" s="1" t="s">
        <v>5943</v>
      </c>
      <c r="F1408" s="1"/>
      <c r="G1408" s="1" t="s">
        <v>49</v>
      </c>
      <c r="H1408" s="1" t="s">
        <v>93</v>
      </c>
      <c r="I1408" s="1">
        <v>1.7510625E7</v>
      </c>
      <c r="J1408" s="1"/>
      <c r="K1408" s="1"/>
      <c r="L1408" s="1"/>
      <c r="M1408" s="1" t="s">
        <v>5944</v>
      </c>
      <c r="N1408" s="1" t="s">
        <v>142</v>
      </c>
      <c r="O1408" s="1" t="s">
        <v>143</v>
      </c>
      <c r="P1408" s="2">
        <v>43780.7784490741</v>
      </c>
      <c r="Q1408" s="1" t="s">
        <v>74</v>
      </c>
      <c r="R1408" s="3">
        <v>43780.0</v>
      </c>
      <c r="S1408" s="1"/>
      <c r="T1408" s="1">
        <v>5103700.0</v>
      </c>
      <c r="U1408" s="1" t="s">
        <v>5945</v>
      </c>
      <c r="V1408" s="1" t="s">
        <v>164</v>
      </c>
      <c r="W1408" s="1" t="s">
        <v>177</v>
      </c>
      <c r="X1408" s="1"/>
      <c r="Y1408" s="1"/>
      <c r="Z1408" s="1" t="s">
        <v>147</v>
      </c>
      <c r="AA1408" s="1" t="s">
        <v>5946</v>
      </c>
      <c r="AB1408" s="1" t="str">
        <f>"***337681**"</f>
        <v>***337681**</v>
      </c>
      <c r="AC1408" s="1"/>
      <c r="AD1408" s="1" t="s">
        <v>2103</v>
      </c>
      <c r="AE1408" s="1"/>
      <c r="AF1408" s="1">
        <v>-54.530556</v>
      </c>
      <c r="AG1408" s="1">
        <v>-12.432222</v>
      </c>
      <c r="AH1408" s="1" t="s">
        <v>5947</v>
      </c>
      <c r="AI1408" s="1"/>
      <c r="AJ1408" s="1" t="s">
        <v>167</v>
      </c>
      <c r="AK1408" s="1"/>
      <c r="AL1408" s="1"/>
      <c r="AM1408" s="1" t="s">
        <v>65</v>
      </c>
      <c r="AN1408" s="1" t="s">
        <v>337</v>
      </c>
      <c r="AO1408" s="1"/>
      <c r="AP1408" s="2">
        <v>44022.6391898148</v>
      </c>
      <c r="AQ1408" s="1"/>
      <c r="AR1408" s="1" t="s">
        <v>2863</v>
      </c>
      <c r="AS1408" s="1" t="s">
        <v>5948</v>
      </c>
      <c r="AT1408" s="2">
        <v>44269.931099537</v>
      </c>
    </row>
    <row r="1409" ht="13.5" customHeight="1">
      <c r="A1409" s="1"/>
      <c r="B1409" s="1" t="s">
        <v>46</v>
      </c>
      <c r="C1409" s="1" t="s">
        <v>657</v>
      </c>
      <c r="D1409" s="1" t="s">
        <v>67</v>
      </c>
      <c r="E1409" s="1" t="s">
        <v>5949</v>
      </c>
      <c r="F1409" s="1"/>
      <c r="G1409" s="1"/>
      <c r="H1409" s="1" t="s">
        <v>93</v>
      </c>
      <c r="I1409" s="1">
        <v>11700.0</v>
      </c>
      <c r="J1409" s="1"/>
      <c r="K1409" s="1" t="s">
        <v>140</v>
      </c>
      <c r="L1409" s="1"/>
      <c r="M1409" s="1" t="s">
        <v>5950</v>
      </c>
      <c r="N1409" s="1" t="s">
        <v>53</v>
      </c>
      <c r="O1409" s="1" t="s">
        <v>54</v>
      </c>
      <c r="P1409" s="2">
        <v>43780.7735300926</v>
      </c>
      <c r="Q1409" s="1" t="s">
        <v>74</v>
      </c>
      <c r="R1409" s="1"/>
      <c r="S1409" s="1"/>
      <c r="T1409" s="1">
        <v>4208203.0</v>
      </c>
      <c r="U1409" s="1" t="s">
        <v>735</v>
      </c>
      <c r="V1409" s="1" t="s">
        <v>267</v>
      </c>
      <c r="W1409" s="1" t="s">
        <v>288</v>
      </c>
      <c r="X1409" s="1"/>
      <c r="Y1409" s="1"/>
      <c r="Z1409" s="1" t="s">
        <v>60</v>
      </c>
      <c r="AA1409" s="1" t="s">
        <v>5231</v>
      </c>
      <c r="AB1409" s="1" t="str">
        <f>"***378639**"</f>
        <v>***378639**</v>
      </c>
      <c r="AC1409" s="1"/>
      <c r="AD1409" s="1" t="s">
        <v>62</v>
      </c>
      <c r="AE1409" s="1"/>
      <c r="AF1409" s="1">
        <v>-48.671391</v>
      </c>
      <c r="AG1409" s="1">
        <v>-26.919443</v>
      </c>
      <c r="AH1409" s="1" t="s">
        <v>5232</v>
      </c>
      <c r="AI1409" s="1"/>
      <c r="AJ1409" s="1" t="s">
        <v>264</v>
      </c>
      <c r="AK1409" s="1"/>
      <c r="AL1409" s="1"/>
      <c r="AM1409" s="1" t="s">
        <v>65</v>
      </c>
      <c r="AN1409" s="1"/>
      <c r="AO1409" s="1"/>
      <c r="AP1409" s="2">
        <v>43780.776087963</v>
      </c>
      <c r="AQ1409" s="1"/>
      <c r="AR1409" s="1" t="s">
        <v>3247</v>
      </c>
      <c r="AS1409" s="1"/>
      <c r="AT1409" s="2">
        <v>44269.931099537</v>
      </c>
    </row>
    <row r="1410" ht="13.5" customHeight="1">
      <c r="A1410" s="1">
        <v>2044043.0</v>
      </c>
      <c r="B1410" s="1" t="s">
        <v>67</v>
      </c>
      <c r="C1410" s="1" t="s">
        <v>68</v>
      </c>
      <c r="D1410" s="1" t="s">
        <v>46</v>
      </c>
      <c r="E1410" s="1" t="s">
        <v>5951</v>
      </c>
      <c r="F1410" s="1"/>
      <c r="G1410" s="1" t="s">
        <v>70</v>
      </c>
      <c r="H1410" s="1" t="s">
        <v>93</v>
      </c>
      <c r="I1410" s="1">
        <v>62500.0</v>
      </c>
      <c r="J1410" s="1"/>
      <c r="K1410" s="1"/>
      <c r="L1410" s="1" t="s">
        <v>172</v>
      </c>
      <c r="M1410" s="1" t="s">
        <v>5952</v>
      </c>
      <c r="N1410" s="1" t="s">
        <v>142</v>
      </c>
      <c r="O1410" s="1" t="s">
        <v>143</v>
      </c>
      <c r="P1410" s="2">
        <v>43780.75</v>
      </c>
      <c r="Q1410" s="1" t="s">
        <v>373</v>
      </c>
      <c r="R1410" s="3">
        <v>43780.0</v>
      </c>
      <c r="S1410" s="1"/>
      <c r="T1410" s="1">
        <v>1100338.0</v>
      </c>
      <c r="U1410" s="1" t="s">
        <v>5017</v>
      </c>
      <c r="V1410" s="1" t="s">
        <v>448</v>
      </c>
      <c r="W1410" s="1" t="s">
        <v>177</v>
      </c>
      <c r="X1410" s="1"/>
      <c r="Y1410" s="1" t="str">
        <f>"02001002947202022"</f>
        <v>02001002947202022</v>
      </c>
      <c r="Z1410" s="1" t="s">
        <v>147</v>
      </c>
      <c r="AA1410" s="1" t="s">
        <v>5953</v>
      </c>
      <c r="AB1410" s="1" t="str">
        <f>"***156432**"</f>
        <v>***156432**</v>
      </c>
      <c r="AC1410" s="1"/>
      <c r="AD1410" s="1"/>
      <c r="AE1410" s="1"/>
      <c r="AF1410" s="1">
        <v>-65.104721</v>
      </c>
      <c r="AG1410" s="1">
        <v>-10.018888</v>
      </c>
      <c r="AH1410" s="1" t="s">
        <v>5954</v>
      </c>
      <c r="AI1410" s="1"/>
      <c r="AJ1410" s="1" t="s">
        <v>172</v>
      </c>
      <c r="AK1410" s="1"/>
      <c r="AL1410" s="1" t="s">
        <v>79</v>
      </c>
      <c r="AM1410" s="1" t="s">
        <v>65</v>
      </c>
      <c r="AN1410" s="1" t="s">
        <v>1395</v>
      </c>
      <c r="AO1410" s="2">
        <v>44259.0</v>
      </c>
      <c r="AP1410" s="2">
        <v>44259.8302546296</v>
      </c>
      <c r="AQ1410" s="1" t="s">
        <v>80</v>
      </c>
      <c r="AR1410" s="1" t="s">
        <v>2545</v>
      </c>
      <c r="AS1410" s="1" t="s">
        <v>5642</v>
      </c>
      <c r="AT1410" s="2">
        <v>44269.931099537</v>
      </c>
    </row>
    <row r="1411" ht="13.5" customHeight="1">
      <c r="A1411" s="1"/>
      <c r="B1411" s="1" t="s">
        <v>46</v>
      </c>
      <c r="C1411" s="1" t="s">
        <v>47</v>
      </c>
      <c r="D1411" s="1"/>
      <c r="E1411" s="1" t="s">
        <v>5955</v>
      </c>
      <c r="F1411" s="1"/>
      <c r="G1411" s="1" t="s">
        <v>49</v>
      </c>
      <c r="H1411" s="1" t="s">
        <v>93</v>
      </c>
      <c r="I1411" s="1">
        <v>10686.0</v>
      </c>
      <c r="J1411" s="1"/>
      <c r="K1411" s="1"/>
      <c r="L1411" s="1"/>
      <c r="M1411" s="1" t="s">
        <v>5956</v>
      </c>
      <c r="N1411" s="1" t="s">
        <v>142</v>
      </c>
      <c r="O1411" s="1" t="s">
        <v>143</v>
      </c>
      <c r="P1411" s="2">
        <v>43780.749837963</v>
      </c>
      <c r="Q1411" s="1" t="s">
        <v>74</v>
      </c>
      <c r="R1411" s="1"/>
      <c r="S1411" s="1"/>
      <c r="T1411" s="1">
        <v>5106190.0</v>
      </c>
      <c r="U1411" s="1" t="s">
        <v>5890</v>
      </c>
      <c r="V1411" s="1" t="s">
        <v>164</v>
      </c>
      <c r="W1411" s="1" t="s">
        <v>177</v>
      </c>
      <c r="X1411" s="1"/>
      <c r="Y1411" s="1"/>
      <c r="Z1411" s="1" t="s">
        <v>147</v>
      </c>
      <c r="AA1411" s="1" t="s">
        <v>5957</v>
      </c>
      <c r="AB1411" s="1" t="str">
        <f>"***981201**"</f>
        <v>***981201**</v>
      </c>
      <c r="AC1411" s="1"/>
      <c r="AD1411" s="1" t="s">
        <v>149</v>
      </c>
      <c r="AE1411" s="1"/>
      <c r="AF1411" s="1">
        <v>-55.188335</v>
      </c>
      <c r="AG1411" s="1">
        <v>-10.849722</v>
      </c>
      <c r="AH1411" s="1" t="s">
        <v>5958</v>
      </c>
      <c r="AI1411" s="1"/>
      <c r="AJ1411" s="1" t="s">
        <v>336</v>
      </c>
      <c r="AK1411" s="1"/>
      <c r="AL1411" s="1"/>
      <c r="AM1411" s="1" t="s">
        <v>65</v>
      </c>
      <c r="AN1411" s="1" t="s">
        <v>337</v>
      </c>
      <c r="AO1411" s="1"/>
      <c r="AP1411" s="2">
        <v>44060.8649652778</v>
      </c>
      <c r="AQ1411" s="1"/>
      <c r="AR1411" s="1" t="s">
        <v>613</v>
      </c>
      <c r="AS1411" s="1"/>
      <c r="AT1411" s="2">
        <v>44269.931099537</v>
      </c>
    </row>
    <row r="1412" ht="13.5" customHeight="1">
      <c r="A1412" s="1">
        <v>2042764.0</v>
      </c>
      <c r="B1412" s="1" t="s">
        <v>67</v>
      </c>
      <c r="C1412" s="1" t="s">
        <v>68</v>
      </c>
      <c r="D1412" s="1" t="s">
        <v>46</v>
      </c>
      <c r="E1412" s="1" t="s">
        <v>5959</v>
      </c>
      <c r="F1412" s="1"/>
      <c r="G1412" s="1" t="s">
        <v>70</v>
      </c>
      <c r="H1412" s="1" t="s">
        <v>93</v>
      </c>
      <c r="I1412" s="1">
        <v>11700.0</v>
      </c>
      <c r="J1412" s="1"/>
      <c r="K1412" s="1"/>
      <c r="L1412" s="1" t="s">
        <v>264</v>
      </c>
      <c r="M1412" s="1" t="s">
        <v>5960</v>
      </c>
      <c r="N1412" s="1" t="s">
        <v>53</v>
      </c>
      <c r="O1412" s="1" t="s">
        <v>54</v>
      </c>
      <c r="P1412" s="2">
        <v>43780.7472222222</v>
      </c>
      <c r="Q1412" s="1" t="s">
        <v>74</v>
      </c>
      <c r="R1412" s="3">
        <v>43794.0</v>
      </c>
      <c r="S1412" s="1"/>
      <c r="T1412" s="1">
        <v>4208203.0</v>
      </c>
      <c r="U1412" s="1" t="s">
        <v>735</v>
      </c>
      <c r="V1412" s="1" t="s">
        <v>267</v>
      </c>
      <c r="W1412" s="1" t="s">
        <v>288</v>
      </c>
      <c r="X1412" s="1"/>
      <c r="Y1412" s="1" t="str">
        <f>"02610001884201985"</f>
        <v>02610001884201985</v>
      </c>
      <c r="Z1412" s="1" t="s">
        <v>60</v>
      </c>
      <c r="AA1412" s="1" t="s">
        <v>5231</v>
      </c>
      <c r="AB1412" s="1" t="str">
        <f t="shared" ref="AB1412:AB1415" si="79">"***378639**"</f>
        <v>***378639**</v>
      </c>
      <c r="AC1412" s="1"/>
      <c r="AD1412" s="1" t="s">
        <v>116</v>
      </c>
      <c r="AE1412" s="1"/>
      <c r="AF1412" s="1">
        <v>-48.671389</v>
      </c>
      <c r="AG1412" s="1">
        <v>-26.919444</v>
      </c>
      <c r="AH1412" s="1" t="s">
        <v>5758</v>
      </c>
      <c r="AI1412" s="1"/>
      <c r="AJ1412" s="1"/>
      <c r="AK1412" s="1"/>
      <c r="AL1412" s="1" t="s">
        <v>118</v>
      </c>
      <c r="AM1412" s="1"/>
      <c r="AN1412" s="1"/>
      <c r="AO1412" s="2">
        <v>44216.7539583333</v>
      </c>
      <c r="AP1412" s="2">
        <v>44221.639849537</v>
      </c>
      <c r="AQ1412" s="1" t="s">
        <v>80</v>
      </c>
      <c r="AR1412" s="1" t="s">
        <v>5306</v>
      </c>
      <c r="AS1412" s="1"/>
      <c r="AT1412" s="2">
        <v>44269.931099537</v>
      </c>
    </row>
    <row r="1413" ht="13.5" customHeight="1">
      <c r="A1413" s="1"/>
      <c r="B1413" s="1" t="s">
        <v>46</v>
      </c>
      <c r="C1413" s="1" t="s">
        <v>47</v>
      </c>
      <c r="D1413" s="1"/>
      <c r="E1413" s="1" t="s">
        <v>5961</v>
      </c>
      <c r="F1413" s="1"/>
      <c r="G1413" s="1"/>
      <c r="H1413" s="1" t="s">
        <v>93</v>
      </c>
      <c r="I1413" s="1">
        <v>11700.0</v>
      </c>
      <c r="J1413" s="1"/>
      <c r="K1413" s="1"/>
      <c r="L1413" s="1"/>
      <c r="M1413" s="1" t="s">
        <v>5962</v>
      </c>
      <c r="N1413" s="1" t="s">
        <v>53</v>
      </c>
      <c r="O1413" s="1" t="s">
        <v>54</v>
      </c>
      <c r="P1413" s="2">
        <v>43780.7463194444</v>
      </c>
      <c r="Q1413" s="1" t="s">
        <v>74</v>
      </c>
      <c r="R1413" s="1"/>
      <c r="S1413" s="1"/>
      <c r="T1413" s="1">
        <v>4208203.0</v>
      </c>
      <c r="U1413" s="1" t="s">
        <v>735</v>
      </c>
      <c r="V1413" s="1" t="s">
        <v>267</v>
      </c>
      <c r="W1413" s="1" t="s">
        <v>288</v>
      </c>
      <c r="X1413" s="1"/>
      <c r="Y1413" s="1"/>
      <c r="Z1413" s="1" t="s">
        <v>60</v>
      </c>
      <c r="AA1413" s="1" t="s">
        <v>5231</v>
      </c>
      <c r="AB1413" s="1" t="str">
        <f t="shared" si="79"/>
        <v>***378639**</v>
      </c>
      <c r="AC1413" s="1"/>
      <c r="AD1413" s="1" t="s">
        <v>62</v>
      </c>
      <c r="AE1413" s="1"/>
      <c r="AF1413" s="1">
        <v>-48.671391</v>
      </c>
      <c r="AG1413" s="1">
        <v>-26.919443</v>
      </c>
      <c r="AH1413" s="1" t="s">
        <v>5232</v>
      </c>
      <c r="AI1413" s="1"/>
      <c r="AJ1413" s="1" t="s">
        <v>264</v>
      </c>
      <c r="AK1413" s="1"/>
      <c r="AL1413" s="1"/>
      <c r="AM1413" s="1" t="s">
        <v>65</v>
      </c>
      <c r="AN1413" s="1"/>
      <c r="AO1413" s="1"/>
      <c r="AP1413" s="2">
        <v>43780.7502314815</v>
      </c>
      <c r="AQ1413" s="1"/>
      <c r="AR1413" s="1" t="s">
        <v>3247</v>
      </c>
      <c r="AS1413" s="1"/>
      <c r="AT1413" s="2">
        <v>44269.931099537</v>
      </c>
    </row>
    <row r="1414" ht="13.5" customHeight="1">
      <c r="A1414" s="1"/>
      <c r="B1414" s="1" t="s">
        <v>46</v>
      </c>
      <c r="C1414" s="1" t="s">
        <v>47</v>
      </c>
      <c r="D1414" s="1"/>
      <c r="E1414" s="1" t="s">
        <v>5963</v>
      </c>
      <c r="F1414" s="1"/>
      <c r="G1414" s="1"/>
      <c r="H1414" s="1" t="s">
        <v>93</v>
      </c>
      <c r="I1414" s="1">
        <v>11700.0</v>
      </c>
      <c r="J1414" s="1"/>
      <c r="K1414" s="1"/>
      <c r="L1414" s="1"/>
      <c r="M1414" s="1" t="s">
        <v>5964</v>
      </c>
      <c r="N1414" s="1" t="s">
        <v>53</v>
      </c>
      <c r="O1414" s="1" t="s">
        <v>54</v>
      </c>
      <c r="P1414" s="2">
        <v>43780.7413541667</v>
      </c>
      <c r="Q1414" s="1" t="s">
        <v>74</v>
      </c>
      <c r="R1414" s="1"/>
      <c r="S1414" s="1"/>
      <c r="T1414" s="1">
        <v>4208203.0</v>
      </c>
      <c r="U1414" s="1" t="s">
        <v>735</v>
      </c>
      <c r="V1414" s="1" t="s">
        <v>267</v>
      </c>
      <c r="W1414" s="1" t="s">
        <v>288</v>
      </c>
      <c r="X1414" s="1"/>
      <c r="Y1414" s="1"/>
      <c r="Z1414" s="1" t="s">
        <v>60</v>
      </c>
      <c r="AA1414" s="1" t="s">
        <v>5231</v>
      </c>
      <c r="AB1414" s="1" t="str">
        <f t="shared" si="79"/>
        <v>***378639**</v>
      </c>
      <c r="AC1414" s="1"/>
      <c r="AD1414" s="1" t="s">
        <v>62</v>
      </c>
      <c r="AE1414" s="1"/>
      <c r="AF1414" s="1">
        <v>-48.671391</v>
      </c>
      <c r="AG1414" s="1">
        <v>-26.919443</v>
      </c>
      <c r="AH1414" s="1" t="s">
        <v>5232</v>
      </c>
      <c r="AI1414" s="1"/>
      <c r="AJ1414" s="1" t="s">
        <v>264</v>
      </c>
      <c r="AK1414" s="1"/>
      <c r="AL1414" s="1"/>
      <c r="AM1414" s="1" t="s">
        <v>65</v>
      </c>
      <c r="AN1414" s="1"/>
      <c r="AO1414" s="1"/>
      <c r="AP1414" s="2">
        <v>43780.7446064815</v>
      </c>
      <c r="AQ1414" s="1"/>
      <c r="AR1414" s="1" t="s">
        <v>3247</v>
      </c>
      <c r="AS1414" s="1"/>
      <c r="AT1414" s="2">
        <v>44269.931099537</v>
      </c>
    </row>
    <row r="1415" ht="13.5" customHeight="1">
      <c r="A1415" s="1"/>
      <c r="B1415" s="1" t="s">
        <v>46</v>
      </c>
      <c r="C1415" s="1" t="s">
        <v>47</v>
      </c>
      <c r="D1415" s="1"/>
      <c r="E1415" s="1" t="s">
        <v>5965</v>
      </c>
      <c r="F1415" s="1"/>
      <c r="G1415" s="1"/>
      <c r="H1415" s="1" t="s">
        <v>93</v>
      </c>
      <c r="I1415" s="1">
        <v>11700.0</v>
      </c>
      <c r="J1415" s="1"/>
      <c r="K1415" s="1"/>
      <c r="L1415" s="1"/>
      <c r="M1415" s="1" t="s">
        <v>5966</v>
      </c>
      <c r="N1415" s="1" t="s">
        <v>53</v>
      </c>
      <c r="O1415" s="1" t="s">
        <v>54</v>
      </c>
      <c r="P1415" s="2">
        <v>43780.7272222222</v>
      </c>
      <c r="Q1415" s="1" t="s">
        <v>74</v>
      </c>
      <c r="R1415" s="1"/>
      <c r="S1415" s="1"/>
      <c r="T1415" s="1">
        <v>4208203.0</v>
      </c>
      <c r="U1415" s="1" t="s">
        <v>735</v>
      </c>
      <c r="V1415" s="1" t="s">
        <v>267</v>
      </c>
      <c r="W1415" s="1" t="s">
        <v>288</v>
      </c>
      <c r="X1415" s="1"/>
      <c r="Y1415" s="1"/>
      <c r="Z1415" s="1" t="s">
        <v>60</v>
      </c>
      <c r="AA1415" s="1" t="s">
        <v>5231</v>
      </c>
      <c r="AB1415" s="1" t="str">
        <f t="shared" si="79"/>
        <v>***378639**</v>
      </c>
      <c r="AC1415" s="1"/>
      <c r="AD1415" s="1" t="s">
        <v>62</v>
      </c>
      <c r="AE1415" s="1"/>
      <c r="AF1415" s="1">
        <v>-48.671391</v>
      </c>
      <c r="AG1415" s="1">
        <v>-26.919443</v>
      </c>
      <c r="AH1415" s="1" t="s">
        <v>5232</v>
      </c>
      <c r="AI1415" s="1"/>
      <c r="AJ1415" s="1" t="s">
        <v>264</v>
      </c>
      <c r="AK1415" s="1"/>
      <c r="AL1415" s="1"/>
      <c r="AM1415" s="1" t="s">
        <v>65</v>
      </c>
      <c r="AN1415" s="1"/>
      <c r="AO1415" s="1"/>
      <c r="AP1415" s="2">
        <v>43780.7303240741</v>
      </c>
      <c r="AQ1415" s="1"/>
      <c r="AR1415" s="1" t="s">
        <v>3247</v>
      </c>
      <c r="AS1415" s="1"/>
      <c r="AT1415" s="2">
        <v>44269.931099537</v>
      </c>
    </row>
    <row r="1416" ht="13.5" customHeight="1">
      <c r="A1416" s="1">
        <v>2036382.0</v>
      </c>
      <c r="B1416" s="1" t="s">
        <v>67</v>
      </c>
      <c r="C1416" s="1" t="s">
        <v>68</v>
      </c>
      <c r="D1416" s="1" t="s">
        <v>46</v>
      </c>
      <c r="E1416" s="1" t="s">
        <v>5967</v>
      </c>
      <c r="F1416" s="1"/>
      <c r="G1416" s="1" t="s">
        <v>70</v>
      </c>
      <c r="H1416" s="1" t="s">
        <v>50</v>
      </c>
      <c r="I1416" s="1">
        <v>7800.0</v>
      </c>
      <c r="J1416" s="1"/>
      <c r="K1416" s="1"/>
      <c r="L1416" s="1" t="s">
        <v>167</v>
      </c>
      <c r="M1416" s="1" t="s">
        <v>5968</v>
      </c>
      <c r="N1416" s="1" t="s">
        <v>142</v>
      </c>
      <c r="O1416" s="1" t="s">
        <v>143</v>
      </c>
      <c r="P1416" s="2">
        <v>43780.7083333333</v>
      </c>
      <c r="Q1416" s="1" t="s">
        <v>74</v>
      </c>
      <c r="R1416" s="1"/>
      <c r="S1416" s="1"/>
      <c r="T1416" s="1">
        <v>5105150.0</v>
      </c>
      <c r="U1416" s="1" t="s">
        <v>5635</v>
      </c>
      <c r="V1416" s="1" t="s">
        <v>164</v>
      </c>
      <c r="W1416" s="1" t="s">
        <v>177</v>
      </c>
      <c r="X1416" s="1"/>
      <c r="Y1416" s="1" t="str">
        <f>"02013001538202070"</f>
        <v>02013001538202070</v>
      </c>
      <c r="Z1416" s="1" t="s">
        <v>147</v>
      </c>
      <c r="AA1416" s="1" t="s">
        <v>5969</v>
      </c>
      <c r="AB1416" s="1" t="str">
        <f>"***007192**"</f>
        <v>***007192**</v>
      </c>
      <c r="AC1416" s="1"/>
      <c r="AD1416" s="1"/>
      <c r="AE1416" s="1"/>
      <c r="AF1416" s="1">
        <v>-59.785831</v>
      </c>
      <c r="AG1416" s="1">
        <v>12.095833</v>
      </c>
      <c r="AH1416" s="1" t="s">
        <v>5970</v>
      </c>
      <c r="AI1416" s="1"/>
      <c r="AJ1416" s="1" t="s">
        <v>167</v>
      </c>
      <c r="AK1416" s="1"/>
      <c r="AL1416" s="1" t="s">
        <v>79</v>
      </c>
      <c r="AM1416" s="1" t="s">
        <v>65</v>
      </c>
      <c r="AN1416" s="1" t="s">
        <v>3343</v>
      </c>
      <c r="AO1416" s="2">
        <v>43949.0</v>
      </c>
      <c r="AP1416" s="2">
        <v>43949.6299884259</v>
      </c>
      <c r="AQ1416" s="1" t="s">
        <v>80</v>
      </c>
      <c r="AR1416" s="1" t="s">
        <v>877</v>
      </c>
      <c r="AS1416" s="1"/>
      <c r="AT1416" s="2">
        <v>44269.931099537</v>
      </c>
    </row>
    <row r="1417" ht="13.5" customHeight="1">
      <c r="A1417" s="1"/>
      <c r="B1417" s="1" t="s">
        <v>46</v>
      </c>
      <c r="C1417" s="1" t="s">
        <v>47</v>
      </c>
      <c r="D1417" s="1"/>
      <c r="E1417" s="1" t="s">
        <v>5971</v>
      </c>
      <c r="F1417" s="1"/>
      <c r="G1417" s="1" t="s">
        <v>121</v>
      </c>
      <c r="H1417" s="1" t="s">
        <v>50</v>
      </c>
      <c r="I1417" s="1"/>
      <c r="J1417" s="1"/>
      <c r="K1417" s="1"/>
      <c r="L1417" s="1"/>
      <c r="M1417" s="1" t="s">
        <v>5972</v>
      </c>
      <c r="N1417" s="1" t="s">
        <v>95</v>
      </c>
      <c r="O1417" s="1" t="s">
        <v>96</v>
      </c>
      <c r="P1417" s="2">
        <v>43780.6611921296</v>
      </c>
      <c r="Q1417" s="1"/>
      <c r="R1417" s="1"/>
      <c r="S1417" s="1"/>
      <c r="T1417" s="1">
        <v>1506807.0</v>
      </c>
      <c r="U1417" s="1" t="s">
        <v>1026</v>
      </c>
      <c r="V1417" s="1" t="s">
        <v>193</v>
      </c>
      <c r="W1417" s="1" t="s">
        <v>177</v>
      </c>
      <c r="X1417" s="1"/>
      <c r="Y1417" s="1"/>
      <c r="Z1417" s="1" t="s">
        <v>667</v>
      </c>
      <c r="AA1417" s="1" t="s">
        <v>5973</v>
      </c>
      <c r="AB1417" s="1" t="str">
        <f>"***311512**"</f>
        <v>***311512**</v>
      </c>
      <c r="AC1417" s="1"/>
      <c r="AD1417" s="1" t="s">
        <v>149</v>
      </c>
      <c r="AE1417" s="1"/>
      <c r="AF1417" s="1">
        <v>-54.22789</v>
      </c>
      <c r="AG1417" s="1">
        <v>-2.968667</v>
      </c>
      <c r="AH1417" s="1" t="s">
        <v>5974</v>
      </c>
      <c r="AI1417" s="1"/>
      <c r="AJ1417" s="1" t="s">
        <v>765</v>
      </c>
      <c r="AK1417" s="1"/>
      <c r="AL1417" s="1"/>
      <c r="AM1417" s="1" t="s">
        <v>65</v>
      </c>
      <c r="AN1417" s="1" t="s">
        <v>1146</v>
      </c>
      <c r="AO1417" s="1"/>
      <c r="AP1417" s="2">
        <v>44054.5484259259</v>
      </c>
      <c r="AQ1417" s="1"/>
      <c r="AR1417" s="1" t="s">
        <v>5975</v>
      </c>
      <c r="AS1417" s="1"/>
      <c r="AT1417" s="2">
        <v>44269.931099537</v>
      </c>
    </row>
    <row r="1418" ht="13.5" customHeight="1">
      <c r="A1418" s="1">
        <v>2042757.0</v>
      </c>
      <c r="B1418" s="1" t="s">
        <v>67</v>
      </c>
      <c r="C1418" s="1" t="s">
        <v>68</v>
      </c>
      <c r="D1418" s="1" t="s">
        <v>46</v>
      </c>
      <c r="E1418" s="1" t="s">
        <v>5976</v>
      </c>
      <c r="F1418" s="1"/>
      <c r="G1418" s="1" t="s">
        <v>70</v>
      </c>
      <c r="H1418" s="1" t="s">
        <v>93</v>
      </c>
      <c r="I1418" s="1">
        <v>11700.0</v>
      </c>
      <c r="J1418" s="1"/>
      <c r="K1418" s="1"/>
      <c r="L1418" s="1" t="s">
        <v>264</v>
      </c>
      <c r="M1418" s="1" t="s">
        <v>5977</v>
      </c>
      <c r="N1418" s="1" t="s">
        <v>53</v>
      </c>
      <c r="O1418" s="1" t="s">
        <v>54</v>
      </c>
      <c r="P1418" s="2">
        <v>43780.6583333333</v>
      </c>
      <c r="Q1418" s="1" t="s">
        <v>74</v>
      </c>
      <c r="R1418" s="3">
        <v>43794.0</v>
      </c>
      <c r="S1418" s="1"/>
      <c r="T1418" s="1">
        <v>4208203.0</v>
      </c>
      <c r="U1418" s="1" t="s">
        <v>735</v>
      </c>
      <c r="V1418" s="1" t="s">
        <v>267</v>
      </c>
      <c r="W1418" s="1" t="s">
        <v>288</v>
      </c>
      <c r="X1418" s="1"/>
      <c r="Y1418" s="1" t="str">
        <f>"02610001896201918"</f>
        <v>02610001896201918</v>
      </c>
      <c r="Z1418" s="1" t="s">
        <v>60</v>
      </c>
      <c r="AA1418" s="1" t="s">
        <v>5231</v>
      </c>
      <c r="AB1418" s="1" t="str">
        <f t="shared" ref="AB1418:AB1421" si="80">"***378639**"</f>
        <v>***378639**</v>
      </c>
      <c r="AC1418" s="1"/>
      <c r="AD1418" s="1" t="s">
        <v>116</v>
      </c>
      <c r="AE1418" s="1"/>
      <c r="AF1418" s="1">
        <v>-48.671389</v>
      </c>
      <c r="AG1418" s="1">
        <v>-26.919444</v>
      </c>
      <c r="AH1418" s="1" t="s">
        <v>5232</v>
      </c>
      <c r="AI1418" s="1"/>
      <c r="AJ1418" s="1"/>
      <c r="AK1418" s="1"/>
      <c r="AL1418" s="1" t="s">
        <v>118</v>
      </c>
      <c r="AM1418" s="1"/>
      <c r="AN1418" s="1"/>
      <c r="AO1418" s="2">
        <v>44216.7081134259</v>
      </c>
      <c r="AP1418" s="2">
        <v>44216.7081134259</v>
      </c>
      <c r="AQ1418" s="1" t="s">
        <v>80</v>
      </c>
      <c r="AR1418" s="1" t="s">
        <v>5978</v>
      </c>
      <c r="AS1418" s="1"/>
      <c r="AT1418" s="2">
        <v>44269.931099537</v>
      </c>
    </row>
    <row r="1419" ht="13.5" customHeight="1">
      <c r="A1419" s="1">
        <v>2042762.0</v>
      </c>
      <c r="B1419" s="1" t="s">
        <v>67</v>
      </c>
      <c r="C1419" s="1" t="s">
        <v>68</v>
      </c>
      <c r="D1419" s="1" t="s">
        <v>46</v>
      </c>
      <c r="E1419" s="1" t="s">
        <v>5979</v>
      </c>
      <c r="F1419" s="1"/>
      <c r="G1419" s="1" t="s">
        <v>70</v>
      </c>
      <c r="H1419" s="1" t="s">
        <v>93</v>
      </c>
      <c r="I1419" s="1">
        <v>11700.0</v>
      </c>
      <c r="J1419" s="1"/>
      <c r="K1419" s="1"/>
      <c r="L1419" s="1" t="s">
        <v>264</v>
      </c>
      <c r="M1419" s="1" t="s">
        <v>5980</v>
      </c>
      <c r="N1419" s="1" t="s">
        <v>53</v>
      </c>
      <c r="O1419" s="1" t="s">
        <v>54</v>
      </c>
      <c r="P1419" s="2">
        <v>43780.6548611111</v>
      </c>
      <c r="Q1419" s="1" t="s">
        <v>74</v>
      </c>
      <c r="R1419" s="3">
        <v>43789.0</v>
      </c>
      <c r="S1419" s="1"/>
      <c r="T1419" s="1">
        <v>4208203.0</v>
      </c>
      <c r="U1419" s="1" t="s">
        <v>735</v>
      </c>
      <c r="V1419" s="1" t="s">
        <v>267</v>
      </c>
      <c r="W1419" s="1" t="s">
        <v>288</v>
      </c>
      <c r="X1419" s="1"/>
      <c r="Y1419" s="1" t="str">
        <f>"02610001895201965"</f>
        <v>02610001895201965</v>
      </c>
      <c r="Z1419" s="1" t="s">
        <v>60</v>
      </c>
      <c r="AA1419" s="1" t="s">
        <v>5231</v>
      </c>
      <c r="AB1419" s="1" t="str">
        <f t="shared" si="80"/>
        <v>***378639**</v>
      </c>
      <c r="AC1419" s="1"/>
      <c r="AD1419" s="1" t="s">
        <v>116</v>
      </c>
      <c r="AE1419" s="1"/>
      <c r="AF1419" s="1">
        <v>-48.671389</v>
      </c>
      <c r="AG1419" s="1">
        <v>-26.919444</v>
      </c>
      <c r="AH1419" s="1" t="s">
        <v>5301</v>
      </c>
      <c r="AI1419" s="1"/>
      <c r="AJ1419" s="1"/>
      <c r="AK1419" s="1"/>
      <c r="AL1419" s="1" t="s">
        <v>118</v>
      </c>
      <c r="AM1419" s="1"/>
      <c r="AN1419" s="1"/>
      <c r="AO1419" s="2">
        <v>44216.7401967593</v>
      </c>
      <c r="AP1419" s="2">
        <v>44216.7401967593</v>
      </c>
      <c r="AQ1419" s="1" t="s">
        <v>80</v>
      </c>
      <c r="AR1419" s="1" t="s">
        <v>5660</v>
      </c>
      <c r="AS1419" s="1"/>
      <c r="AT1419" s="2">
        <v>44269.931099537</v>
      </c>
    </row>
    <row r="1420" ht="13.5" customHeight="1">
      <c r="A1420" s="1">
        <v>2042756.0</v>
      </c>
      <c r="B1420" s="1" t="s">
        <v>67</v>
      </c>
      <c r="C1420" s="1" t="s">
        <v>68</v>
      </c>
      <c r="D1420" s="1" t="s">
        <v>46</v>
      </c>
      <c r="E1420" s="1" t="s">
        <v>5981</v>
      </c>
      <c r="F1420" s="1"/>
      <c r="G1420" s="1" t="s">
        <v>70</v>
      </c>
      <c r="H1420" s="1" t="s">
        <v>93</v>
      </c>
      <c r="I1420" s="1">
        <v>11700.0</v>
      </c>
      <c r="J1420" s="1"/>
      <c r="K1420" s="1"/>
      <c r="L1420" s="1" t="s">
        <v>264</v>
      </c>
      <c r="M1420" s="1" t="s">
        <v>5982</v>
      </c>
      <c r="N1420" s="1" t="s">
        <v>53</v>
      </c>
      <c r="O1420" s="1" t="s">
        <v>54</v>
      </c>
      <c r="P1420" s="2">
        <v>43780.6472222222</v>
      </c>
      <c r="Q1420" s="1" t="s">
        <v>74</v>
      </c>
      <c r="R1420" s="3">
        <v>43794.0</v>
      </c>
      <c r="S1420" s="1"/>
      <c r="T1420" s="1">
        <v>4208203.0</v>
      </c>
      <c r="U1420" s="1" t="s">
        <v>735</v>
      </c>
      <c r="V1420" s="1" t="s">
        <v>267</v>
      </c>
      <c r="W1420" s="1" t="s">
        <v>288</v>
      </c>
      <c r="X1420" s="1"/>
      <c r="Y1420" s="1" t="str">
        <f>"02610001894201911"</f>
        <v>02610001894201911</v>
      </c>
      <c r="Z1420" s="1" t="s">
        <v>60</v>
      </c>
      <c r="AA1420" s="1" t="s">
        <v>5231</v>
      </c>
      <c r="AB1420" s="1" t="str">
        <f t="shared" si="80"/>
        <v>***378639**</v>
      </c>
      <c r="AC1420" s="1"/>
      <c r="AD1420" s="1" t="s">
        <v>116</v>
      </c>
      <c r="AE1420" s="1"/>
      <c r="AF1420" s="1">
        <v>-48.671389</v>
      </c>
      <c r="AG1420" s="1">
        <v>-26.919444</v>
      </c>
      <c r="AH1420" s="1" t="s">
        <v>5232</v>
      </c>
      <c r="AI1420" s="1"/>
      <c r="AJ1420" s="1"/>
      <c r="AK1420" s="1"/>
      <c r="AL1420" s="1" t="s">
        <v>118</v>
      </c>
      <c r="AM1420" s="1"/>
      <c r="AN1420" s="1"/>
      <c r="AO1420" s="2">
        <v>44216.7041319444</v>
      </c>
      <c r="AP1420" s="2">
        <v>44216.7041319444</v>
      </c>
      <c r="AQ1420" s="1" t="s">
        <v>80</v>
      </c>
      <c r="AR1420" s="1" t="s">
        <v>5978</v>
      </c>
      <c r="AS1420" s="1"/>
      <c r="AT1420" s="2">
        <v>44269.931099537</v>
      </c>
    </row>
    <row r="1421" ht="13.5" customHeight="1">
      <c r="A1421" s="1">
        <v>2042777.0</v>
      </c>
      <c r="B1421" s="1" t="s">
        <v>67</v>
      </c>
      <c r="C1421" s="1" t="s">
        <v>68</v>
      </c>
      <c r="D1421" s="1" t="s">
        <v>46</v>
      </c>
      <c r="E1421" s="1" t="s">
        <v>5983</v>
      </c>
      <c r="F1421" s="1"/>
      <c r="G1421" s="1" t="s">
        <v>70</v>
      </c>
      <c r="H1421" s="1" t="s">
        <v>93</v>
      </c>
      <c r="I1421" s="1">
        <v>11700.0</v>
      </c>
      <c r="J1421" s="1"/>
      <c r="K1421" s="1"/>
      <c r="L1421" s="1" t="s">
        <v>264</v>
      </c>
      <c r="M1421" s="1" t="s">
        <v>5984</v>
      </c>
      <c r="N1421" s="1" t="s">
        <v>53</v>
      </c>
      <c r="O1421" s="1" t="s">
        <v>54</v>
      </c>
      <c r="P1421" s="2">
        <v>43780.6284722222</v>
      </c>
      <c r="Q1421" s="1" t="s">
        <v>74</v>
      </c>
      <c r="R1421" s="3">
        <v>43794.0</v>
      </c>
      <c r="S1421" s="1"/>
      <c r="T1421" s="1">
        <v>4208203.0</v>
      </c>
      <c r="U1421" s="1" t="s">
        <v>735</v>
      </c>
      <c r="V1421" s="1" t="s">
        <v>267</v>
      </c>
      <c r="W1421" s="1" t="s">
        <v>288</v>
      </c>
      <c r="X1421" s="1"/>
      <c r="Y1421" s="1" t="str">
        <f>"02610001892201921"</f>
        <v>02610001892201921</v>
      </c>
      <c r="Z1421" s="1" t="s">
        <v>60</v>
      </c>
      <c r="AA1421" s="1" t="s">
        <v>5231</v>
      </c>
      <c r="AB1421" s="1" t="str">
        <f t="shared" si="80"/>
        <v>***378639**</v>
      </c>
      <c r="AC1421" s="1"/>
      <c r="AD1421" s="1" t="s">
        <v>116</v>
      </c>
      <c r="AE1421" s="1"/>
      <c r="AF1421" s="1">
        <v>-48.671389</v>
      </c>
      <c r="AG1421" s="1">
        <v>-26.919444</v>
      </c>
      <c r="AH1421" s="1" t="s">
        <v>5301</v>
      </c>
      <c r="AI1421" s="1"/>
      <c r="AJ1421" s="1"/>
      <c r="AK1421" s="1"/>
      <c r="AL1421" s="1" t="s">
        <v>118</v>
      </c>
      <c r="AM1421" s="1"/>
      <c r="AN1421" s="1"/>
      <c r="AO1421" s="2">
        <v>44216.7884722222</v>
      </c>
      <c r="AP1421" s="2">
        <v>44216.7884722222</v>
      </c>
      <c r="AQ1421" s="1" t="s">
        <v>80</v>
      </c>
      <c r="AR1421" s="1" t="s">
        <v>5302</v>
      </c>
      <c r="AS1421" s="1"/>
      <c r="AT1421" s="2">
        <v>44269.931099537</v>
      </c>
    </row>
    <row r="1422" ht="13.5" customHeight="1">
      <c r="A1422" s="1">
        <v>2034814.0</v>
      </c>
      <c r="B1422" s="1" t="s">
        <v>67</v>
      </c>
      <c r="C1422" s="1" t="s">
        <v>68</v>
      </c>
      <c r="D1422" s="1" t="s">
        <v>46</v>
      </c>
      <c r="E1422" s="1" t="s">
        <v>5985</v>
      </c>
      <c r="F1422" s="1"/>
      <c r="G1422" s="1" t="s">
        <v>70</v>
      </c>
      <c r="H1422" s="1" t="s">
        <v>93</v>
      </c>
      <c r="I1422" s="1">
        <v>132000.0</v>
      </c>
      <c r="J1422" s="1"/>
      <c r="K1422" s="1"/>
      <c r="L1422" s="1" t="s">
        <v>386</v>
      </c>
      <c r="M1422" s="1" t="s">
        <v>5986</v>
      </c>
      <c r="N1422" s="1" t="s">
        <v>142</v>
      </c>
      <c r="O1422" s="1" t="s">
        <v>143</v>
      </c>
      <c r="P1422" s="2">
        <v>43780.625</v>
      </c>
      <c r="Q1422" s="1" t="s">
        <v>55</v>
      </c>
      <c r="R1422" s="3">
        <v>43780.0</v>
      </c>
      <c r="S1422" s="1"/>
      <c r="T1422" s="1">
        <v>1721000.0</v>
      </c>
      <c r="U1422" s="1" t="s">
        <v>2155</v>
      </c>
      <c r="V1422" s="1" t="s">
        <v>2156</v>
      </c>
      <c r="W1422" s="1" t="s">
        <v>127</v>
      </c>
      <c r="X1422" s="1"/>
      <c r="Y1422" s="1" t="str">
        <f>"02029001463201914"</f>
        <v>02029001463201914</v>
      </c>
      <c r="Z1422" s="1" t="s">
        <v>147</v>
      </c>
      <c r="AA1422" s="1" t="s">
        <v>5987</v>
      </c>
      <c r="AB1422" s="1" t="str">
        <f>"***437881**"</f>
        <v>***437881**</v>
      </c>
      <c r="AC1422" s="1"/>
      <c r="AD1422" s="1" t="s">
        <v>116</v>
      </c>
      <c r="AE1422" s="1"/>
      <c r="AF1422" s="1">
        <v>-48.332778</v>
      </c>
      <c r="AG1422" s="1">
        <v>-10.208611</v>
      </c>
      <c r="AH1422" s="1" t="s">
        <v>5988</v>
      </c>
      <c r="AI1422" s="1"/>
      <c r="AJ1422" s="1" t="s">
        <v>386</v>
      </c>
      <c r="AK1422" s="1"/>
      <c r="AL1422" s="1" t="s">
        <v>118</v>
      </c>
      <c r="AM1422" s="1" t="s">
        <v>65</v>
      </c>
      <c r="AN1422" s="1" t="s">
        <v>391</v>
      </c>
      <c r="AO1422" s="2">
        <v>43892.0</v>
      </c>
      <c r="AP1422" s="2">
        <v>44063.6265625</v>
      </c>
      <c r="AQ1422" s="1" t="s">
        <v>80</v>
      </c>
      <c r="AR1422" s="1" t="s">
        <v>656</v>
      </c>
      <c r="AS1422" s="1"/>
      <c r="AT1422" s="2">
        <v>44269.931099537</v>
      </c>
    </row>
    <row r="1423" ht="13.5" customHeight="1">
      <c r="A1423" s="1">
        <v>2042775.0</v>
      </c>
      <c r="B1423" s="1" t="s">
        <v>67</v>
      </c>
      <c r="C1423" s="1" t="s">
        <v>68</v>
      </c>
      <c r="D1423" s="1" t="s">
        <v>46</v>
      </c>
      <c r="E1423" s="1" t="s">
        <v>5989</v>
      </c>
      <c r="F1423" s="1"/>
      <c r="G1423" s="1" t="s">
        <v>70</v>
      </c>
      <c r="H1423" s="1" t="s">
        <v>93</v>
      </c>
      <c r="I1423" s="1">
        <v>11700.0</v>
      </c>
      <c r="J1423" s="1"/>
      <c r="K1423" s="1"/>
      <c r="L1423" s="1" t="s">
        <v>264</v>
      </c>
      <c r="M1423" s="1" t="s">
        <v>5990</v>
      </c>
      <c r="N1423" s="1" t="s">
        <v>53</v>
      </c>
      <c r="O1423" s="1"/>
      <c r="P1423" s="2">
        <v>43780.625</v>
      </c>
      <c r="Q1423" s="1" t="s">
        <v>74</v>
      </c>
      <c r="R1423" s="3">
        <v>43794.0</v>
      </c>
      <c r="S1423" s="1"/>
      <c r="T1423" s="1">
        <v>4208203.0</v>
      </c>
      <c r="U1423" s="1" t="s">
        <v>735</v>
      </c>
      <c r="V1423" s="1" t="s">
        <v>267</v>
      </c>
      <c r="W1423" s="1" t="s">
        <v>288</v>
      </c>
      <c r="X1423" s="1"/>
      <c r="Y1423" s="1" t="str">
        <f>"02610001891201987"</f>
        <v>02610001891201987</v>
      </c>
      <c r="Z1423" s="1" t="s">
        <v>60</v>
      </c>
      <c r="AA1423" s="1" t="s">
        <v>5231</v>
      </c>
      <c r="AB1423" s="1" t="str">
        <f t="shared" ref="AB1423:AB1429" si="81">"***378639**"</f>
        <v>***378639**</v>
      </c>
      <c r="AC1423" s="1"/>
      <c r="AD1423" s="1" t="s">
        <v>116</v>
      </c>
      <c r="AE1423" s="1"/>
      <c r="AF1423" s="1">
        <v>-48.671389</v>
      </c>
      <c r="AG1423" s="1">
        <v>-26.919444</v>
      </c>
      <c r="AH1423" s="1" t="s">
        <v>5301</v>
      </c>
      <c r="AI1423" s="1"/>
      <c r="AJ1423" s="1"/>
      <c r="AK1423" s="1"/>
      <c r="AL1423" s="1" t="s">
        <v>118</v>
      </c>
      <c r="AM1423" s="1"/>
      <c r="AN1423" s="1"/>
      <c r="AO1423" s="2">
        <v>44216.7822222222</v>
      </c>
      <c r="AP1423" s="2">
        <v>44216.7822222222</v>
      </c>
      <c r="AQ1423" s="1" t="s">
        <v>80</v>
      </c>
      <c r="AR1423" s="1" t="s">
        <v>5302</v>
      </c>
      <c r="AS1423" s="1"/>
      <c r="AT1423" s="2">
        <v>44269.931099537</v>
      </c>
    </row>
    <row r="1424" ht="13.5" customHeight="1">
      <c r="A1424" s="1">
        <v>2042785.0</v>
      </c>
      <c r="B1424" s="1" t="s">
        <v>67</v>
      </c>
      <c r="C1424" s="1" t="s">
        <v>68</v>
      </c>
      <c r="D1424" s="1" t="s">
        <v>46</v>
      </c>
      <c r="E1424" s="1" t="s">
        <v>5991</v>
      </c>
      <c r="F1424" s="1"/>
      <c r="G1424" s="1" t="s">
        <v>70</v>
      </c>
      <c r="H1424" s="1" t="s">
        <v>93</v>
      </c>
      <c r="I1424" s="1">
        <v>11700.0</v>
      </c>
      <c r="J1424" s="1"/>
      <c r="K1424" s="1"/>
      <c r="L1424" s="1" t="s">
        <v>264</v>
      </c>
      <c r="M1424" s="1" t="s">
        <v>5992</v>
      </c>
      <c r="N1424" s="1" t="s">
        <v>53</v>
      </c>
      <c r="O1424" s="1" t="s">
        <v>54</v>
      </c>
      <c r="P1424" s="2">
        <v>43780.6145833333</v>
      </c>
      <c r="Q1424" s="1" t="s">
        <v>74</v>
      </c>
      <c r="R1424" s="3">
        <v>43794.0</v>
      </c>
      <c r="S1424" s="1"/>
      <c r="T1424" s="1">
        <v>4208203.0</v>
      </c>
      <c r="U1424" s="1" t="s">
        <v>735</v>
      </c>
      <c r="V1424" s="1" t="s">
        <v>267</v>
      </c>
      <c r="W1424" s="1" t="s">
        <v>288</v>
      </c>
      <c r="X1424" s="1"/>
      <c r="Y1424" s="1" t="str">
        <f>"02610001889201916"</f>
        <v>02610001889201916</v>
      </c>
      <c r="Z1424" s="1" t="s">
        <v>60</v>
      </c>
      <c r="AA1424" s="1" t="s">
        <v>5231</v>
      </c>
      <c r="AB1424" s="1" t="str">
        <f t="shared" si="81"/>
        <v>***378639**</v>
      </c>
      <c r="AC1424" s="1"/>
      <c r="AD1424" s="1" t="s">
        <v>116</v>
      </c>
      <c r="AE1424" s="1"/>
      <c r="AF1424" s="1">
        <v>-48.671389</v>
      </c>
      <c r="AG1424" s="1">
        <v>-26.919444</v>
      </c>
      <c r="AH1424" s="1" t="s">
        <v>5758</v>
      </c>
      <c r="AI1424" s="1"/>
      <c r="AJ1424" s="1"/>
      <c r="AK1424" s="1"/>
      <c r="AL1424" s="1" t="s">
        <v>118</v>
      </c>
      <c r="AM1424" s="1"/>
      <c r="AN1424" s="1"/>
      <c r="AO1424" s="2">
        <v>44216.8084375</v>
      </c>
      <c r="AP1424" s="2">
        <v>44216.8084375</v>
      </c>
      <c r="AQ1424" s="1" t="s">
        <v>80</v>
      </c>
      <c r="AR1424" s="1" t="s">
        <v>5759</v>
      </c>
      <c r="AS1424" s="1"/>
      <c r="AT1424" s="2">
        <v>44269.931099537</v>
      </c>
    </row>
    <row r="1425" ht="13.5" customHeight="1">
      <c r="A1425" s="1">
        <v>2042772.0</v>
      </c>
      <c r="B1425" s="1" t="s">
        <v>67</v>
      </c>
      <c r="C1425" s="1" t="s">
        <v>68</v>
      </c>
      <c r="D1425" s="1" t="s">
        <v>46</v>
      </c>
      <c r="E1425" s="1" t="s">
        <v>5993</v>
      </c>
      <c r="F1425" s="1"/>
      <c r="G1425" s="1" t="s">
        <v>70</v>
      </c>
      <c r="H1425" s="1" t="s">
        <v>93</v>
      </c>
      <c r="I1425" s="1">
        <v>11700.0</v>
      </c>
      <c r="J1425" s="1"/>
      <c r="K1425" s="1"/>
      <c r="L1425" s="1" t="s">
        <v>264</v>
      </c>
      <c r="M1425" s="1" t="s">
        <v>5994</v>
      </c>
      <c r="N1425" s="1" t="s">
        <v>53</v>
      </c>
      <c r="O1425" s="1" t="s">
        <v>54</v>
      </c>
      <c r="P1425" s="2">
        <v>43780.6097222222</v>
      </c>
      <c r="Q1425" s="1" t="s">
        <v>74</v>
      </c>
      <c r="R1425" s="3">
        <v>43794.0</v>
      </c>
      <c r="S1425" s="1"/>
      <c r="T1425" s="1">
        <v>4208203.0</v>
      </c>
      <c r="U1425" s="1" t="s">
        <v>735</v>
      </c>
      <c r="V1425" s="1" t="s">
        <v>267</v>
      </c>
      <c r="W1425" s="1" t="s">
        <v>288</v>
      </c>
      <c r="X1425" s="1"/>
      <c r="Y1425" s="1" t="str">
        <f t="shared" ref="Y1425:Y1426" si="82">"02610001888201963"</f>
        <v>02610001888201963</v>
      </c>
      <c r="Z1425" s="1" t="s">
        <v>60</v>
      </c>
      <c r="AA1425" s="1" t="s">
        <v>5231</v>
      </c>
      <c r="AB1425" s="1" t="str">
        <f t="shared" si="81"/>
        <v>***378639**</v>
      </c>
      <c r="AC1425" s="1"/>
      <c r="AD1425" s="1" t="s">
        <v>116</v>
      </c>
      <c r="AE1425" s="1"/>
      <c r="AF1425" s="1">
        <v>-48.671389</v>
      </c>
      <c r="AG1425" s="1">
        <v>-26.919444</v>
      </c>
      <c r="AH1425" s="1" t="s">
        <v>5758</v>
      </c>
      <c r="AI1425" s="1"/>
      <c r="AJ1425" s="1"/>
      <c r="AK1425" s="1"/>
      <c r="AL1425" s="1" t="s">
        <v>118</v>
      </c>
      <c r="AM1425" s="1"/>
      <c r="AN1425" s="1"/>
      <c r="AO1425" s="2">
        <v>44216.7721990741</v>
      </c>
      <c r="AP1425" s="2">
        <v>44216.7723611111</v>
      </c>
      <c r="AQ1425" s="1" t="s">
        <v>80</v>
      </c>
      <c r="AR1425" s="1" t="s">
        <v>5306</v>
      </c>
      <c r="AS1425" s="1"/>
      <c r="AT1425" s="2">
        <v>44269.931099537</v>
      </c>
    </row>
    <row r="1426" ht="13.5" customHeight="1">
      <c r="A1426" s="1">
        <v>2042789.0</v>
      </c>
      <c r="B1426" s="1" t="s">
        <v>67</v>
      </c>
      <c r="C1426" s="1" t="s">
        <v>89</v>
      </c>
      <c r="D1426" s="1" t="s">
        <v>67</v>
      </c>
      <c r="E1426" s="1" t="s">
        <v>5993</v>
      </c>
      <c r="F1426" s="1"/>
      <c r="G1426" s="1" t="s">
        <v>70</v>
      </c>
      <c r="H1426" s="1" t="s">
        <v>93</v>
      </c>
      <c r="I1426" s="1">
        <v>11700.0</v>
      </c>
      <c r="J1426" s="1"/>
      <c r="K1426" s="1"/>
      <c r="L1426" s="1" t="s">
        <v>264</v>
      </c>
      <c r="M1426" s="1" t="s">
        <v>5995</v>
      </c>
      <c r="N1426" s="1" t="s">
        <v>53</v>
      </c>
      <c r="O1426" s="1" t="s">
        <v>54</v>
      </c>
      <c r="P1426" s="2">
        <v>43780.6097222222</v>
      </c>
      <c r="Q1426" s="1" t="s">
        <v>74</v>
      </c>
      <c r="R1426" s="1"/>
      <c r="S1426" s="1"/>
      <c r="T1426" s="1">
        <v>4208203.0</v>
      </c>
      <c r="U1426" s="1" t="s">
        <v>735</v>
      </c>
      <c r="V1426" s="1" t="s">
        <v>267</v>
      </c>
      <c r="W1426" s="1" t="s">
        <v>288</v>
      </c>
      <c r="X1426" s="1"/>
      <c r="Y1426" s="1" t="str">
        <f t="shared" si="82"/>
        <v>02610001888201963</v>
      </c>
      <c r="Z1426" s="1" t="s">
        <v>60</v>
      </c>
      <c r="AA1426" s="1" t="s">
        <v>5231</v>
      </c>
      <c r="AB1426" s="1" t="str">
        <f t="shared" si="81"/>
        <v>***378639**</v>
      </c>
      <c r="AC1426" s="1"/>
      <c r="AD1426" s="1" t="s">
        <v>116</v>
      </c>
      <c r="AE1426" s="1"/>
      <c r="AF1426" s="1">
        <v>-48.671389</v>
      </c>
      <c r="AG1426" s="1">
        <v>-26.919444</v>
      </c>
      <c r="AH1426" s="1" t="s">
        <v>5758</v>
      </c>
      <c r="AI1426" s="1"/>
      <c r="AJ1426" s="1"/>
      <c r="AK1426" s="1"/>
      <c r="AL1426" s="1" t="s">
        <v>118</v>
      </c>
      <c r="AM1426" s="1"/>
      <c r="AN1426" s="1"/>
      <c r="AO1426" s="2">
        <v>44216.8156828704</v>
      </c>
      <c r="AP1426" s="2">
        <v>44218.6647337963</v>
      </c>
      <c r="AQ1426" s="1" t="s">
        <v>89</v>
      </c>
      <c r="AR1426" s="1" t="s">
        <v>5759</v>
      </c>
      <c r="AS1426" s="1"/>
      <c r="AT1426" s="2">
        <v>44269.931099537</v>
      </c>
    </row>
    <row r="1427" ht="13.5" customHeight="1">
      <c r="A1427" s="1"/>
      <c r="B1427" s="1" t="s">
        <v>46</v>
      </c>
      <c r="C1427" s="1" t="s">
        <v>47</v>
      </c>
      <c r="D1427" s="1"/>
      <c r="E1427" s="1" t="s">
        <v>5996</v>
      </c>
      <c r="F1427" s="1"/>
      <c r="G1427" s="1"/>
      <c r="H1427" s="1" t="s">
        <v>93</v>
      </c>
      <c r="I1427" s="1">
        <v>11700.0</v>
      </c>
      <c r="J1427" s="1"/>
      <c r="K1427" s="1"/>
      <c r="L1427" s="1"/>
      <c r="M1427" s="1" t="s">
        <v>5997</v>
      </c>
      <c r="N1427" s="1" t="s">
        <v>53</v>
      </c>
      <c r="O1427" s="1" t="s">
        <v>54</v>
      </c>
      <c r="P1427" s="2">
        <v>43780.570150463</v>
      </c>
      <c r="Q1427" s="1" t="s">
        <v>74</v>
      </c>
      <c r="R1427" s="1"/>
      <c r="S1427" s="1"/>
      <c r="T1427" s="1">
        <v>4208203.0</v>
      </c>
      <c r="U1427" s="1" t="s">
        <v>735</v>
      </c>
      <c r="V1427" s="1" t="s">
        <v>267</v>
      </c>
      <c r="W1427" s="1" t="s">
        <v>288</v>
      </c>
      <c r="X1427" s="1"/>
      <c r="Y1427" s="1"/>
      <c r="Z1427" s="1" t="s">
        <v>60</v>
      </c>
      <c r="AA1427" s="1" t="s">
        <v>5231</v>
      </c>
      <c r="AB1427" s="1" t="str">
        <f t="shared" si="81"/>
        <v>***378639**</v>
      </c>
      <c r="AC1427" s="1"/>
      <c r="AD1427" s="1" t="s">
        <v>62</v>
      </c>
      <c r="AE1427" s="1"/>
      <c r="AF1427" s="1">
        <v>-48.671391</v>
      </c>
      <c r="AG1427" s="1">
        <v>-26.919443</v>
      </c>
      <c r="AH1427" s="1" t="s">
        <v>5232</v>
      </c>
      <c r="AI1427" s="1"/>
      <c r="AJ1427" s="1" t="s">
        <v>264</v>
      </c>
      <c r="AK1427" s="1"/>
      <c r="AL1427" s="1"/>
      <c r="AM1427" s="1" t="s">
        <v>65</v>
      </c>
      <c r="AN1427" s="1"/>
      <c r="AO1427" s="1"/>
      <c r="AP1427" s="2">
        <v>43780.572962963</v>
      </c>
      <c r="AQ1427" s="1"/>
      <c r="AR1427" s="1" t="s">
        <v>3247</v>
      </c>
      <c r="AS1427" s="1"/>
      <c r="AT1427" s="2">
        <v>44269.931099537</v>
      </c>
    </row>
    <row r="1428" ht="13.5" customHeight="1">
      <c r="A1428" s="1"/>
      <c r="B1428" s="1" t="s">
        <v>46</v>
      </c>
      <c r="C1428" s="1" t="s">
        <v>47</v>
      </c>
      <c r="D1428" s="1"/>
      <c r="E1428" s="1" t="s">
        <v>5998</v>
      </c>
      <c r="F1428" s="1"/>
      <c r="G1428" s="1"/>
      <c r="H1428" s="1" t="s">
        <v>93</v>
      </c>
      <c r="I1428" s="1">
        <v>11700.0</v>
      </c>
      <c r="J1428" s="1"/>
      <c r="K1428" s="1"/>
      <c r="L1428" s="1"/>
      <c r="M1428" s="1" t="s">
        <v>5999</v>
      </c>
      <c r="N1428" s="1" t="s">
        <v>53</v>
      </c>
      <c r="O1428" s="1" t="s">
        <v>54</v>
      </c>
      <c r="P1428" s="2">
        <v>43780.5666782407</v>
      </c>
      <c r="Q1428" s="1" t="s">
        <v>74</v>
      </c>
      <c r="R1428" s="1"/>
      <c r="S1428" s="1"/>
      <c r="T1428" s="1">
        <v>4208203.0</v>
      </c>
      <c r="U1428" s="1" t="s">
        <v>735</v>
      </c>
      <c r="V1428" s="1" t="s">
        <v>267</v>
      </c>
      <c r="W1428" s="1" t="s">
        <v>288</v>
      </c>
      <c r="X1428" s="1"/>
      <c r="Y1428" s="1"/>
      <c r="Z1428" s="1" t="s">
        <v>60</v>
      </c>
      <c r="AA1428" s="1" t="s">
        <v>5231</v>
      </c>
      <c r="AB1428" s="1" t="str">
        <f t="shared" si="81"/>
        <v>***378639**</v>
      </c>
      <c r="AC1428" s="1"/>
      <c r="AD1428" s="1" t="s">
        <v>62</v>
      </c>
      <c r="AE1428" s="1"/>
      <c r="AF1428" s="1">
        <v>-48.671391</v>
      </c>
      <c r="AG1428" s="1">
        <v>-26.919443</v>
      </c>
      <c r="AH1428" s="1" t="s">
        <v>5232</v>
      </c>
      <c r="AI1428" s="1"/>
      <c r="AJ1428" s="1" t="s">
        <v>264</v>
      </c>
      <c r="AK1428" s="1"/>
      <c r="AL1428" s="1"/>
      <c r="AM1428" s="1" t="s">
        <v>65</v>
      </c>
      <c r="AN1428" s="1"/>
      <c r="AO1428" s="1"/>
      <c r="AP1428" s="2">
        <v>43780.5692013889</v>
      </c>
      <c r="AQ1428" s="1"/>
      <c r="AR1428" s="1" t="s">
        <v>3247</v>
      </c>
      <c r="AS1428" s="1"/>
      <c r="AT1428" s="2">
        <v>44269.931099537</v>
      </c>
    </row>
    <row r="1429" ht="13.5" customHeight="1">
      <c r="A1429" s="1"/>
      <c r="B1429" s="1" t="s">
        <v>46</v>
      </c>
      <c r="C1429" s="1" t="s">
        <v>657</v>
      </c>
      <c r="D1429" s="1" t="s">
        <v>67</v>
      </c>
      <c r="E1429" s="1" t="s">
        <v>6000</v>
      </c>
      <c r="F1429" s="1"/>
      <c r="G1429" s="1"/>
      <c r="H1429" s="1" t="s">
        <v>93</v>
      </c>
      <c r="I1429" s="1">
        <v>117000.0</v>
      </c>
      <c r="J1429" s="1"/>
      <c r="K1429" s="1"/>
      <c r="L1429" s="1"/>
      <c r="M1429" s="1" t="s">
        <v>6001</v>
      </c>
      <c r="N1429" s="1" t="s">
        <v>53</v>
      </c>
      <c r="O1429" s="1" t="s">
        <v>54</v>
      </c>
      <c r="P1429" s="2">
        <v>43780.5582638889</v>
      </c>
      <c r="Q1429" s="1" t="s">
        <v>74</v>
      </c>
      <c r="R1429" s="1"/>
      <c r="S1429" s="1"/>
      <c r="T1429" s="1">
        <v>4208203.0</v>
      </c>
      <c r="U1429" s="1" t="s">
        <v>735</v>
      </c>
      <c r="V1429" s="1" t="s">
        <v>267</v>
      </c>
      <c r="W1429" s="1" t="s">
        <v>288</v>
      </c>
      <c r="X1429" s="1"/>
      <c r="Y1429" s="1"/>
      <c r="Z1429" s="1" t="s">
        <v>60</v>
      </c>
      <c r="AA1429" s="1" t="s">
        <v>5231</v>
      </c>
      <c r="AB1429" s="1" t="str">
        <f t="shared" si="81"/>
        <v>***378639**</v>
      </c>
      <c r="AC1429" s="1"/>
      <c r="AD1429" s="1" t="s">
        <v>62</v>
      </c>
      <c r="AE1429" s="1"/>
      <c r="AF1429" s="1">
        <v>-48.671391</v>
      </c>
      <c r="AG1429" s="1">
        <v>-326.919434</v>
      </c>
      <c r="AH1429" s="1" t="s">
        <v>5232</v>
      </c>
      <c r="AI1429" s="1"/>
      <c r="AJ1429" s="1" t="s">
        <v>264</v>
      </c>
      <c r="AK1429" s="1"/>
      <c r="AL1429" s="1"/>
      <c r="AM1429" s="1" t="s">
        <v>65</v>
      </c>
      <c r="AN1429" s="1"/>
      <c r="AO1429" s="1"/>
      <c r="AP1429" s="2">
        <v>43780.5612384259</v>
      </c>
      <c r="AQ1429" s="1"/>
      <c r="AR1429" s="1" t="s">
        <v>3247</v>
      </c>
      <c r="AS1429" s="1"/>
      <c r="AT1429" s="2">
        <v>44269.931099537</v>
      </c>
    </row>
    <row r="1430" ht="13.5" customHeight="1">
      <c r="A1430" s="1"/>
      <c r="B1430" s="1" t="s">
        <v>46</v>
      </c>
      <c r="C1430" s="1" t="s">
        <v>47</v>
      </c>
      <c r="D1430" s="1"/>
      <c r="E1430" s="1" t="s">
        <v>6002</v>
      </c>
      <c r="F1430" s="1"/>
      <c r="G1430" s="1" t="s">
        <v>49</v>
      </c>
      <c r="H1430" s="1" t="s">
        <v>93</v>
      </c>
      <c r="I1430" s="1">
        <v>53000.0</v>
      </c>
      <c r="J1430" s="1"/>
      <c r="K1430" s="1"/>
      <c r="L1430" s="1"/>
      <c r="M1430" s="1" t="s">
        <v>6003</v>
      </c>
      <c r="N1430" s="1" t="s">
        <v>142</v>
      </c>
      <c r="O1430" s="1" t="s">
        <v>143</v>
      </c>
      <c r="P1430" s="2">
        <v>43780.5369444445</v>
      </c>
      <c r="Q1430" s="1" t="s">
        <v>373</v>
      </c>
      <c r="R1430" s="1"/>
      <c r="S1430" s="1"/>
      <c r="T1430" s="1">
        <v>1200302.0</v>
      </c>
      <c r="U1430" s="1" t="s">
        <v>3319</v>
      </c>
      <c r="V1430" s="1" t="s">
        <v>498</v>
      </c>
      <c r="W1430" s="1" t="s">
        <v>177</v>
      </c>
      <c r="X1430" s="1"/>
      <c r="Y1430" s="1"/>
      <c r="Z1430" s="1" t="s">
        <v>147</v>
      </c>
      <c r="AA1430" s="1" t="s">
        <v>6004</v>
      </c>
      <c r="AB1430" s="1" t="str">
        <f>"***731042**"</f>
        <v>***731042**</v>
      </c>
      <c r="AC1430" s="1">
        <v>61.0</v>
      </c>
      <c r="AD1430" s="1" t="s">
        <v>116</v>
      </c>
      <c r="AE1430" s="1"/>
      <c r="AF1430" s="1">
        <v>-70.101387</v>
      </c>
      <c r="AG1430" s="1">
        <v>-8.553333</v>
      </c>
      <c r="AH1430" s="1" t="s">
        <v>6005</v>
      </c>
      <c r="AI1430" s="1"/>
      <c r="AJ1430" s="1" t="s">
        <v>3322</v>
      </c>
      <c r="AK1430" s="1"/>
      <c r="AL1430" s="1"/>
      <c r="AM1430" s="1" t="s">
        <v>65</v>
      </c>
      <c r="AN1430" s="1" t="s">
        <v>3305</v>
      </c>
      <c r="AO1430" s="1"/>
      <c r="AP1430" s="2">
        <v>43957.4513657407</v>
      </c>
      <c r="AQ1430" s="1"/>
      <c r="AR1430" s="1" t="s">
        <v>2055</v>
      </c>
      <c r="AS1430" s="1"/>
      <c r="AT1430" s="2">
        <v>44269.931099537</v>
      </c>
    </row>
    <row r="1431" ht="13.5" customHeight="1">
      <c r="A1431" s="1"/>
      <c r="B1431" s="1" t="s">
        <v>46</v>
      </c>
      <c r="C1431" s="1" t="s">
        <v>47</v>
      </c>
      <c r="D1431" s="1"/>
      <c r="E1431" s="1" t="s">
        <v>6006</v>
      </c>
      <c r="F1431" s="1"/>
      <c r="G1431" s="1"/>
      <c r="H1431" s="1" t="s">
        <v>93</v>
      </c>
      <c r="I1431" s="1">
        <v>7200.0</v>
      </c>
      <c r="J1431" s="1"/>
      <c r="K1431" s="1"/>
      <c r="L1431" s="1"/>
      <c r="M1431" s="1" t="s">
        <v>6007</v>
      </c>
      <c r="N1431" s="1" t="s">
        <v>142</v>
      </c>
      <c r="O1431" s="1" t="s">
        <v>143</v>
      </c>
      <c r="P1431" s="2">
        <v>43780.5049074074</v>
      </c>
      <c r="Q1431" s="1" t="s">
        <v>55</v>
      </c>
      <c r="R1431" s="1"/>
      <c r="S1431" s="1"/>
      <c r="T1431" s="1">
        <v>5218003.0</v>
      </c>
      <c r="U1431" s="1" t="s">
        <v>3709</v>
      </c>
      <c r="V1431" s="1" t="s">
        <v>375</v>
      </c>
      <c r="W1431" s="1" t="s">
        <v>177</v>
      </c>
      <c r="X1431" s="1"/>
      <c r="Y1431" s="1"/>
      <c r="Z1431" s="1" t="s">
        <v>147</v>
      </c>
      <c r="AA1431" s="1" t="s">
        <v>6008</v>
      </c>
      <c r="AB1431" s="1" t="str">
        <f>"17207926000155"</f>
        <v>17207926000155</v>
      </c>
      <c r="AC1431" s="1"/>
      <c r="AD1431" s="1" t="s">
        <v>149</v>
      </c>
      <c r="AE1431" s="1"/>
      <c r="AF1431" s="1">
        <v>-49.127777</v>
      </c>
      <c r="AG1431" s="1">
        <v>-13.503056</v>
      </c>
      <c r="AH1431" s="1" t="s">
        <v>6009</v>
      </c>
      <c r="AI1431" s="1"/>
      <c r="AJ1431" s="1" t="s">
        <v>371</v>
      </c>
      <c r="AK1431" s="1"/>
      <c r="AL1431" s="1"/>
      <c r="AM1431" s="1" t="s">
        <v>65</v>
      </c>
      <c r="AN1431" s="1" t="s">
        <v>3712</v>
      </c>
      <c r="AO1431" s="1"/>
      <c r="AP1431" s="2">
        <v>43780.5731712963</v>
      </c>
      <c r="AQ1431" s="1"/>
      <c r="AR1431" s="1" t="s">
        <v>6010</v>
      </c>
      <c r="AS1431" s="1"/>
      <c r="AT1431" s="2">
        <v>44269.931099537</v>
      </c>
    </row>
    <row r="1432" ht="13.5" customHeight="1">
      <c r="A1432" s="1">
        <v>2035045.0</v>
      </c>
      <c r="B1432" s="1" t="s">
        <v>67</v>
      </c>
      <c r="C1432" s="1" t="s">
        <v>68</v>
      </c>
      <c r="D1432" s="1" t="s">
        <v>46</v>
      </c>
      <c r="E1432" s="1" t="s">
        <v>6011</v>
      </c>
      <c r="F1432" s="1"/>
      <c r="G1432" s="1" t="s">
        <v>70</v>
      </c>
      <c r="H1432" s="1" t="s">
        <v>93</v>
      </c>
      <c r="I1432" s="1">
        <v>1500.08</v>
      </c>
      <c r="J1432" s="1"/>
      <c r="K1432" s="1"/>
      <c r="L1432" s="1" t="s">
        <v>765</v>
      </c>
      <c r="M1432" s="1" t="s">
        <v>6012</v>
      </c>
      <c r="N1432" s="1" t="s">
        <v>95</v>
      </c>
      <c r="O1432" s="1" t="s">
        <v>96</v>
      </c>
      <c r="P1432" s="2">
        <v>43780.5</v>
      </c>
      <c r="Q1432" s="1" t="s">
        <v>373</v>
      </c>
      <c r="R1432" s="3">
        <v>43780.0</v>
      </c>
      <c r="S1432" s="1"/>
      <c r="T1432" s="1">
        <v>1506807.0</v>
      </c>
      <c r="U1432" s="1" t="s">
        <v>1026</v>
      </c>
      <c r="V1432" s="1" t="s">
        <v>193</v>
      </c>
      <c r="W1432" s="1" t="s">
        <v>177</v>
      </c>
      <c r="X1432" s="1"/>
      <c r="Y1432" s="1"/>
      <c r="Z1432" s="1" t="s">
        <v>98</v>
      </c>
      <c r="AA1432" s="1" t="s">
        <v>6013</v>
      </c>
      <c r="AB1432" s="1" t="str">
        <f>"***894692**"</f>
        <v>***894692**</v>
      </c>
      <c r="AC1432" s="1"/>
      <c r="AD1432" s="1"/>
      <c r="AE1432" s="1"/>
      <c r="AF1432" s="1">
        <v>-54.328888</v>
      </c>
      <c r="AG1432" s="1">
        <v>-3.171389</v>
      </c>
      <c r="AH1432" s="1" t="s">
        <v>5974</v>
      </c>
      <c r="AI1432" s="1"/>
      <c r="AJ1432" s="1" t="s">
        <v>765</v>
      </c>
      <c r="AK1432" s="1"/>
      <c r="AL1432" s="1" t="s">
        <v>79</v>
      </c>
      <c r="AM1432" s="1" t="s">
        <v>65</v>
      </c>
      <c r="AN1432" s="1" t="s">
        <v>1146</v>
      </c>
      <c r="AO1432" s="2">
        <v>43894.0</v>
      </c>
      <c r="AP1432" s="2">
        <v>43894.3839351852</v>
      </c>
      <c r="AQ1432" s="1" t="s">
        <v>80</v>
      </c>
      <c r="AR1432" s="1" t="s">
        <v>3062</v>
      </c>
      <c r="AS1432" s="1"/>
      <c r="AT1432" s="2">
        <v>44269.931099537</v>
      </c>
    </row>
    <row r="1433" ht="13.5" customHeight="1">
      <c r="A1433" s="1">
        <v>2040188.0</v>
      </c>
      <c r="B1433" s="1" t="s">
        <v>67</v>
      </c>
      <c r="C1433" s="1" t="s">
        <v>68</v>
      </c>
      <c r="D1433" s="1" t="s">
        <v>46</v>
      </c>
      <c r="E1433" s="1" t="s">
        <v>6014</v>
      </c>
      <c r="F1433" s="1"/>
      <c r="G1433" s="1" t="s">
        <v>70</v>
      </c>
      <c r="H1433" s="1" t="s">
        <v>93</v>
      </c>
      <c r="I1433" s="1">
        <v>3100.0</v>
      </c>
      <c r="J1433" s="1"/>
      <c r="K1433" s="1"/>
      <c r="L1433" s="1" t="s">
        <v>406</v>
      </c>
      <c r="M1433" s="1" t="s">
        <v>6015</v>
      </c>
      <c r="N1433" s="1" t="s">
        <v>283</v>
      </c>
      <c r="O1433" s="1" t="s">
        <v>978</v>
      </c>
      <c r="P1433" s="2">
        <v>43780.4791666667</v>
      </c>
      <c r="Q1433" s="1" t="s">
        <v>55</v>
      </c>
      <c r="R1433" s="1"/>
      <c r="S1433" s="1"/>
      <c r="T1433" s="1">
        <v>3205002.0</v>
      </c>
      <c r="U1433" s="1" t="s">
        <v>979</v>
      </c>
      <c r="V1433" s="1" t="s">
        <v>403</v>
      </c>
      <c r="W1433" s="1" t="s">
        <v>59</v>
      </c>
      <c r="X1433" s="1"/>
      <c r="Y1433" s="1" t="str">
        <f>"02009002670201924"</f>
        <v>02009002670201924</v>
      </c>
      <c r="Z1433" s="1" t="s">
        <v>980</v>
      </c>
      <c r="AA1433" s="1" t="s">
        <v>6016</v>
      </c>
      <c r="AB1433" s="1" t="str">
        <f>"03845190000136"</f>
        <v>03845190000136</v>
      </c>
      <c r="AC1433" s="1"/>
      <c r="AD1433" s="1" t="s">
        <v>116</v>
      </c>
      <c r="AE1433" s="1"/>
      <c r="AF1433" s="1">
        <v>-40.339444</v>
      </c>
      <c r="AG1433" s="1">
        <v>-20.096667</v>
      </c>
      <c r="AH1433" s="1" t="s">
        <v>6017</v>
      </c>
      <c r="AI1433" s="1"/>
      <c r="AJ1433" s="1"/>
      <c r="AK1433" s="1"/>
      <c r="AL1433" s="1" t="s">
        <v>118</v>
      </c>
      <c r="AM1433" s="1"/>
      <c r="AN1433" s="1"/>
      <c r="AO1433" s="2">
        <v>44117.41375</v>
      </c>
      <c r="AP1433" s="2">
        <v>44117.4189236111</v>
      </c>
      <c r="AQ1433" s="1" t="s">
        <v>80</v>
      </c>
      <c r="AR1433" s="1" t="s">
        <v>5893</v>
      </c>
      <c r="AS1433" s="1"/>
      <c r="AT1433" s="2">
        <v>44269.931099537</v>
      </c>
    </row>
    <row r="1434" ht="13.5" customHeight="1">
      <c r="A1434" s="1">
        <v>2042752.0</v>
      </c>
      <c r="B1434" s="1" t="s">
        <v>67</v>
      </c>
      <c r="C1434" s="1" t="s">
        <v>68</v>
      </c>
      <c r="D1434" s="1" t="s">
        <v>46</v>
      </c>
      <c r="E1434" s="1" t="s">
        <v>6018</v>
      </c>
      <c r="F1434" s="1"/>
      <c r="G1434" s="1" t="s">
        <v>70</v>
      </c>
      <c r="H1434" s="1" t="s">
        <v>93</v>
      </c>
      <c r="I1434" s="1">
        <v>11700.0</v>
      </c>
      <c r="J1434" s="1"/>
      <c r="K1434" s="1"/>
      <c r="L1434" s="1" t="s">
        <v>264</v>
      </c>
      <c r="M1434" s="1" t="s">
        <v>6019</v>
      </c>
      <c r="N1434" s="1" t="s">
        <v>53</v>
      </c>
      <c r="O1434" s="1" t="s">
        <v>54</v>
      </c>
      <c r="P1434" s="2">
        <v>43780.4763888889</v>
      </c>
      <c r="Q1434" s="1" t="s">
        <v>74</v>
      </c>
      <c r="R1434" s="3">
        <v>43794.0</v>
      </c>
      <c r="S1434" s="1"/>
      <c r="T1434" s="1">
        <v>4208203.0</v>
      </c>
      <c r="U1434" s="1" t="s">
        <v>735</v>
      </c>
      <c r="V1434" s="1" t="s">
        <v>267</v>
      </c>
      <c r="W1434" s="1" t="s">
        <v>288</v>
      </c>
      <c r="X1434" s="1"/>
      <c r="Y1434" s="1" t="str">
        <f>"02610001893201976"</f>
        <v>02610001893201976</v>
      </c>
      <c r="Z1434" s="1" t="s">
        <v>60</v>
      </c>
      <c r="AA1434" s="1" t="s">
        <v>5231</v>
      </c>
      <c r="AB1434" s="1" t="str">
        <f>"***378639**"</f>
        <v>***378639**</v>
      </c>
      <c r="AC1434" s="1"/>
      <c r="AD1434" s="1" t="s">
        <v>116</v>
      </c>
      <c r="AE1434" s="1"/>
      <c r="AF1434" s="1">
        <v>-48.671389</v>
      </c>
      <c r="AG1434" s="1">
        <v>-26.919444</v>
      </c>
      <c r="AH1434" s="1" t="s">
        <v>5232</v>
      </c>
      <c r="AI1434" s="1"/>
      <c r="AJ1434" s="1"/>
      <c r="AK1434" s="1"/>
      <c r="AL1434" s="1" t="s">
        <v>118</v>
      </c>
      <c r="AM1434" s="1"/>
      <c r="AN1434" s="1"/>
      <c r="AO1434" s="2">
        <v>44216.6965625</v>
      </c>
      <c r="AP1434" s="2">
        <v>44216.7116087963</v>
      </c>
      <c r="AQ1434" s="1" t="s">
        <v>80</v>
      </c>
      <c r="AR1434" s="1" t="s">
        <v>5290</v>
      </c>
      <c r="AS1434" s="1"/>
      <c r="AT1434" s="2">
        <v>44269.931099537</v>
      </c>
    </row>
    <row r="1435" ht="13.5" customHeight="1">
      <c r="A1435" s="1">
        <v>2036772.0</v>
      </c>
      <c r="B1435" s="1" t="s">
        <v>67</v>
      </c>
      <c r="C1435" s="1" t="s">
        <v>68</v>
      </c>
      <c r="D1435" s="1" t="s">
        <v>46</v>
      </c>
      <c r="E1435" s="1" t="s">
        <v>6020</v>
      </c>
      <c r="F1435" s="1"/>
      <c r="G1435" s="1" t="s">
        <v>70</v>
      </c>
      <c r="H1435" s="1" t="s">
        <v>50</v>
      </c>
      <c r="I1435" s="1">
        <v>307500.0</v>
      </c>
      <c r="J1435" s="1"/>
      <c r="K1435" s="1"/>
      <c r="L1435" s="1" t="s">
        <v>172</v>
      </c>
      <c r="M1435" s="1" t="s">
        <v>6021</v>
      </c>
      <c r="N1435" s="1" t="s">
        <v>142</v>
      </c>
      <c r="O1435" s="1" t="s">
        <v>143</v>
      </c>
      <c r="P1435" s="2">
        <v>43780.4583333333</v>
      </c>
      <c r="Q1435" s="1" t="s">
        <v>373</v>
      </c>
      <c r="R1435" s="3">
        <v>43780.0</v>
      </c>
      <c r="S1435" s="1"/>
      <c r="T1435" s="1">
        <v>5103056.0</v>
      </c>
      <c r="U1435" s="1" t="s">
        <v>1877</v>
      </c>
      <c r="V1435" s="1" t="s">
        <v>164</v>
      </c>
      <c r="W1435" s="1" t="s">
        <v>177</v>
      </c>
      <c r="X1435" s="1"/>
      <c r="Y1435" s="1" t="str">
        <f>"02001012133202004"</f>
        <v>02001012133202004</v>
      </c>
      <c r="Z1435" s="1" t="s">
        <v>147</v>
      </c>
      <c r="AA1435" s="1" t="s">
        <v>6022</v>
      </c>
      <c r="AB1435" s="1" t="str">
        <f>"***478389**"</f>
        <v>***478389**</v>
      </c>
      <c r="AC1435" s="1"/>
      <c r="AD1435" s="1"/>
      <c r="AE1435" s="1"/>
      <c r="AF1435" s="1">
        <v>-55.219997</v>
      </c>
      <c r="AG1435" s="1">
        <v>-11.439445</v>
      </c>
      <c r="AH1435" s="1" t="s">
        <v>6023</v>
      </c>
      <c r="AI1435" s="1"/>
      <c r="AJ1435" s="1" t="s">
        <v>172</v>
      </c>
      <c r="AK1435" s="1"/>
      <c r="AL1435" s="1" t="s">
        <v>79</v>
      </c>
      <c r="AM1435" s="1" t="s">
        <v>65</v>
      </c>
      <c r="AN1435" s="1" t="s">
        <v>180</v>
      </c>
      <c r="AO1435" s="2">
        <v>43970.0</v>
      </c>
      <c r="AP1435" s="2">
        <v>43970.8123842593</v>
      </c>
      <c r="AQ1435" s="1" t="s">
        <v>80</v>
      </c>
      <c r="AR1435" s="1" t="s">
        <v>636</v>
      </c>
      <c r="AS1435" s="1" t="s">
        <v>6024</v>
      </c>
      <c r="AT1435" s="2">
        <v>44269.931099537</v>
      </c>
    </row>
    <row r="1436" ht="13.5" customHeight="1">
      <c r="A1436" s="1"/>
      <c r="B1436" s="1" t="s">
        <v>46</v>
      </c>
      <c r="C1436" s="1" t="s">
        <v>47</v>
      </c>
      <c r="D1436" s="1"/>
      <c r="E1436" s="1" t="s">
        <v>6025</v>
      </c>
      <c r="F1436" s="1"/>
      <c r="G1436" s="1"/>
      <c r="H1436" s="1" t="s">
        <v>93</v>
      </c>
      <c r="I1436" s="1">
        <v>1510.0</v>
      </c>
      <c r="J1436" s="1"/>
      <c r="K1436" s="1" t="s">
        <v>140</v>
      </c>
      <c r="L1436" s="1"/>
      <c r="M1436" s="1" t="s">
        <v>6026</v>
      </c>
      <c r="N1436" s="1" t="s">
        <v>977</v>
      </c>
      <c r="O1436" s="1" t="s">
        <v>978</v>
      </c>
      <c r="P1436" s="2">
        <v>43780.4440393519</v>
      </c>
      <c r="Q1436" s="1" t="s">
        <v>373</v>
      </c>
      <c r="R1436" s="1"/>
      <c r="S1436" s="1"/>
      <c r="T1436" s="1">
        <v>3205002.0</v>
      </c>
      <c r="U1436" s="1" t="s">
        <v>979</v>
      </c>
      <c r="V1436" s="1" t="s">
        <v>403</v>
      </c>
      <c r="W1436" s="1" t="s">
        <v>59</v>
      </c>
      <c r="X1436" s="1"/>
      <c r="Y1436" s="1"/>
      <c r="Z1436" s="1" t="s">
        <v>980</v>
      </c>
      <c r="AA1436" s="1" t="s">
        <v>6027</v>
      </c>
      <c r="AB1436" s="1" t="str">
        <f>"***434767**"</f>
        <v>***434767**</v>
      </c>
      <c r="AC1436" s="1"/>
      <c r="AD1436" s="1" t="s">
        <v>149</v>
      </c>
      <c r="AE1436" s="1"/>
      <c r="AF1436" s="1">
        <v>-40.394722</v>
      </c>
      <c r="AG1436" s="1">
        <v>-20.218056</v>
      </c>
      <c r="AH1436" s="1" t="s">
        <v>6028</v>
      </c>
      <c r="AI1436" s="1"/>
      <c r="AJ1436" s="1" t="s">
        <v>406</v>
      </c>
      <c r="AK1436" s="1"/>
      <c r="AL1436" s="1"/>
      <c r="AM1436" s="1" t="s">
        <v>65</v>
      </c>
      <c r="AN1436" s="1" t="s">
        <v>168</v>
      </c>
      <c r="AO1436" s="1"/>
      <c r="AP1436" s="2">
        <v>43780.4718981482</v>
      </c>
      <c r="AQ1436" s="1"/>
      <c r="AR1436" s="1" t="s">
        <v>6029</v>
      </c>
      <c r="AS1436" s="1"/>
      <c r="AT1436" s="2">
        <v>44269.931099537</v>
      </c>
    </row>
    <row r="1437" ht="13.5" customHeight="1">
      <c r="A1437" s="1"/>
      <c r="B1437" s="1" t="s">
        <v>46</v>
      </c>
      <c r="C1437" s="1" t="s">
        <v>47</v>
      </c>
      <c r="D1437" s="1"/>
      <c r="E1437" s="1" t="s">
        <v>6030</v>
      </c>
      <c r="F1437" s="1"/>
      <c r="G1437" s="1" t="s">
        <v>49</v>
      </c>
      <c r="H1437" s="1" t="s">
        <v>93</v>
      </c>
      <c r="I1437" s="1">
        <v>55000.0</v>
      </c>
      <c r="J1437" s="1"/>
      <c r="K1437" s="1"/>
      <c r="L1437" s="1"/>
      <c r="M1437" s="1" t="s">
        <v>6031</v>
      </c>
      <c r="N1437" s="1" t="s">
        <v>142</v>
      </c>
      <c r="O1437" s="1" t="s">
        <v>143</v>
      </c>
      <c r="P1437" s="2">
        <v>43780.4381712963</v>
      </c>
      <c r="Q1437" s="1" t="s">
        <v>74</v>
      </c>
      <c r="R1437" s="3">
        <v>41965.0</v>
      </c>
      <c r="S1437" s="1"/>
      <c r="T1437" s="1">
        <v>1502939.0</v>
      </c>
      <c r="U1437" s="1" t="s">
        <v>6032</v>
      </c>
      <c r="V1437" s="1" t="s">
        <v>193</v>
      </c>
      <c r="W1437" s="1" t="s">
        <v>177</v>
      </c>
      <c r="X1437" s="1"/>
      <c r="Y1437" s="1"/>
      <c r="Z1437" s="1" t="s">
        <v>147</v>
      </c>
      <c r="AA1437" s="1" t="s">
        <v>6033</v>
      </c>
      <c r="AB1437" s="1" t="str">
        <f>"***779322**"</f>
        <v>***779322**</v>
      </c>
      <c r="AC1437" s="1"/>
      <c r="AD1437" s="1" t="s">
        <v>116</v>
      </c>
      <c r="AE1437" s="1"/>
      <c r="AF1437" s="1">
        <v>-48.195139</v>
      </c>
      <c r="AG1437" s="1">
        <v>-4.208806</v>
      </c>
      <c r="AH1437" s="1" t="s">
        <v>6034</v>
      </c>
      <c r="AI1437" s="1"/>
      <c r="AJ1437" s="1" t="s">
        <v>196</v>
      </c>
      <c r="AK1437" s="1"/>
      <c r="AL1437" s="1"/>
      <c r="AM1437" s="1" t="s">
        <v>65</v>
      </c>
      <c r="AN1437" s="1" t="s">
        <v>197</v>
      </c>
      <c r="AO1437" s="1"/>
      <c r="AP1437" s="2">
        <v>44218.6363425926</v>
      </c>
      <c r="AQ1437" s="1"/>
      <c r="AR1437" s="1" t="s">
        <v>169</v>
      </c>
      <c r="AS1437" s="1" t="s">
        <v>6035</v>
      </c>
      <c r="AT1437" s="2">
        <v>44269.931099537</v>
      </c>
    </row>
    <row r="1438" ht="13.5" customHeight="1">
      <c r="A1438" s="1">
        <v>2042758.0</v>
      </c>
      <c r="B1438" s="1" t="s">
        <v>67</v>
      </c>
      <c r="C1438" s="1" t="s">
        <v>68</v>
      </c>
      <c r="D1438" s="1" t="s">
        <v>46</v>
      </c>
      <c r="E1438" s="1" t="s">
        <v>6036</v>
      </c>
      <c r="F1438" s="1"/>
      <c r="G1438" s="1" t="s">
        <v>70</v>
      </c>
      <c r="H1438" s="1" t="s">
        <v>93</v>
      </c>
      <c r="I1438" s="1">
        <v>11700.0</v>
      </c>
      <c r="J1438" s="1"/>
      <c r="K1438" s="1"/>
      <c r="L1438" s="1" t="s">
        <v>264</v>
      </c>
      <c r="M1438" s="1" t="s">
        <v>6037</v>
      </c>
      <c r="N1438" s="1" t="s">
        <v>53</v>
      </c>
      <c r="O1438" s="1" t="s">
        <v>54</v>
      </c>
      <c r="P1438" s="2">
        <v>43780.43125</v>
      </c>
      <c r="Q1438" s="1" t="s">
        <v>74</v>
      </c>
      <c r="R1438" s="3">
        <v>43794.0</v>
      </c>
      <c r="S1438" s="1"/>
      <c r="T1438" s="1">
        <v>4208203.0</v>
      </c>
      <c r="U1438" s="1" t="s">
        <v>735</v>
      </c>
      <c r="V1438" s="1" t="s">
        <v>267</v>
      </c>
      <c r="W1438" s="1" t="s">
        <v>288</v>
      </c>
      <c r="X1438" s="1"/>
      <c r="Y1438" s="1" t="str">
        <f>"02610001882201996"</f>
        <v>02610001882201996</v>
      </c>
      <c r="Z1438" s="1" t="s">
        <v>60</v>
      </c>
      <c r="AA1438" s="1" t="s">
        <v>5231</v>
      </c>
      <c r="AB1438" s="1" t="str">
        <f>"***378639**"</f>
        <v>***378639**</v>
      </c>
      <c r="AC1438" s="1"/>
      <c r="AD1438" s="1" t="s">
        <v>116</v>
      </c>
      <c r="AE1438" s="1"/>
      <c r="AF1438" s="1">
        <v>-48.671389</v>
      </c>
      <c r="AG1438" s="1">
        <v>-26.919444</v>
      </c>
      <c r="AH1438" s="1" t="s">
        <v>5232</v>
      </c>
      <c r="AI1438" s="1"/>
      <c r="AJ1438" s="1"/>
      <c r="AK1438" s="1"/>
      <c r="AL1438" s="1" t="s">
        <v>118</v>
      </c>
      <c r="AM1438" s="1"/>
      <c r="AN1438" s="1"/>
      <c r="AO1438" s="2">
        <v>44216.7115856482</v>
      </c>
      <c r="AP1438" s="2">
        <v>44216.7115856482</v>
      </c>
      <c r="AQ1438" s="1" t="s">
        <v>80</v>
      </c>
      <c r="AR1438" s="1" t="s">
        <v>5660</v>
      </c>
      <c r="AS1438" s="1"/>
      <c r="AT1438" s="2">
        <v>44269.931099537</v>
      </c>
    </row>
    <row r="1439" ht="13.5" customHeight="1">
      <c r="A1439" s="1">
        <v>2038776.0</v>
      </c>
      <c r="B1439" s="1" t="s">
        <v>67</v>
      </c>
      <c r="C1439" s="1" t="s">
        <v>68</v>
      </c>
      <c r="D1439" s="1" t="s">
        <v>46</v>
      </c>
      <c r="E1439" s="1" t="s">
        <v>6038</v>
      </c>
      <c r="F1439" s="1"/>
      <c r="G1439" s="1" t="s">
        <v>70</v>
      </c>
      <c r="H1439" s="1" t="s">
        <v>50</v>
      </c>
      <c r="I1439" s="1">
        <v>1050.0</v>
      </c>
      <c r="J1439" s="1"/>
      <c r="K1439" s="1"/>
      <c r="L1439" s="1" t="s">
        <v>587</v>
      </c>
      <c r="M1439" s="1" t="s">
        <v>6039</v>
      </c>
      <c r="N1439" s="1" t="s">
        <v>95</v>
      </c>
      <c r="O1439" s="1" t="s">
        <v>96</v>
      </c>
      <c r="P1439" s="2">
        <v>43780.4166666667</v>
      </c>
      <c r="Q1439" s="1" t="s">
        <v>74</v>
      </c>
      <c r="R1439" s="1"/>
      <c r="S1439" s="1"/>
      <c r="T1439" s="1">
        <v>3171600.0</v>
      </c>
      <c r="U1439" s="1" t="s">
        <v>6040</v>
      </c>
      <c r="V1439" s="1" t="s">
        <v>126</v>
      </c>
      <c r="W1439" s="1" t="s">
        <v>127</v>
      </c>
      <c r="X1439" s="1"/>
      <c r="Y1439" s="1" t="str">
        <f>"02566000412201998"</f>
        <v>02566000412201998</v>
      </c>
      <c r="Z1439" s="1" t="s">
        <v>98</v>
      </c>
      <c r="AA1439" s="1" t="s">
        <v>6041</v>
      </c>
      <c r="AB1439" s="1" t="str">
        <f>"***099176**"</f>
        <v>***099176**</v>
      </c>
      <c r="AC1439" s="1"/>
      <c r="AD1439" s="1"/>
      <c r="AE1439" s="1"/>
      <c r="AF1439" s="1">
        <v>-42.335278</v>
      </c>
      <c r="AG1439" s="1">
        <v>-16.804167</v>
      </c>
      <c r="AH1439" s="1" t="s">
        <v>6042</v>
      </c>
      <c r="AI1439" s="1"/>
      <c r="AJ1439" s="1" t="s">
        <v>587</v>
      </c>
      <c r="AK1439" s="1"/>
      <c r="AL1439" s="1" t="s">
        <v>79</v>
      </c>
      <c r="AM1439" s="1" t="s">
        <v>65</v>
      </c>
      <c r="AN1439" s="1" t="s">
        <v>592</v>
      </c>
      <c r="AO1439" s="2">
        <v>44046.0</v>
      </c>
      <c r="AP1439" s="2">
        <v>44046.6074884259</v>
      </c>
      <c r="AQ1439" s="1" t="s">
        <v>80</v>
      </c>
      <c r="AR1439" s="1" t="s">
        <v>593</v>
      </c>
      <c r="AS1439" s="1"/>
      <c r="AT1439" s="2">
        <v>44269.931099537</v>
      </c>
    </row>
    <row r="1440" ht="13.5" customHeight="1">
      <c r="A1440" s="1">
        <v>2036088.0</v>
      </c>
      <c r="B1440" s="1" t="s">
        <v>67</v>
      </c>
      <c r="C1440" s="1" t="s">
        <v>68</v>
      </c>
      <c r="D1440" s="1" t="s">
        <v>46</v>
      </c>
      <c r="E1440" s="1" t="s">
        <v>6043</v>
      </c>
      <c r="F1440" s="1"/>
      <c r="G1440" s="1" t="s">
        <v>70</v>
      </c>
      <c r="H1440" s="1" t="s">
        <v>93</v>
      </c>
      <c r="I1440" s="1">
        <v>247500.0</v>
      </c>
      <c r="J1440" s="1"/>
      <c r="K1440" s="1"/>
      <c r="L1440" s="1" t="s">
        <v>291</v>
      </c>
      <c r="M1440" s="1" t="s">
        <v>6044</v>
      </c>
      <c r="N1440" s="1" t="s">
        <v>142</v>
      </c>
      <c r="O1440" s="1" t="s">
        <v>143</v>
      </c>
      <c r="P1440" s="2">
        <v>43780.2916666667</v>
      </c>
      <c r="Q1440" s="1" t="s">
        <v>74</v>
      </c>
      <c r="R1440" s="3">
        <v>43853.0</v>
      </c>
      <c r="S1440" s="1"/>
      <c r="T1440" s="1">
        <v>3300704.0</v>
      </c>
      <c r="U1440" s="1" t="s">
        <v>6045</v>
      </c>
      <c r="V1440" s="1" t="s">
        <v>287</v>
      </c>
      <c r="W1440" s="1" t="s">
        <v>59</v>
      </c>
      <c r="X1440" s="1"/>
      <c r="Y1440" s="1" t="str">
        <f>"02022000658202041"</f>
        <v>02022000658202041</v>
      </c>
      <c r="Z1440" s="1" t="s">
        <v>147</v>
      </c>
      <c r="AA1440" s="1" t="s">
        <v>6046</v>
      </c>
      <c r="AB1440" s="1" t="str">
        <f>"***288867**"</f>
        <v>***288867**</v>
      </c>
      <c r="AC1440" s="1"/>
      <c r="AD1440" s="1"/>
      <c r="AE1440" s="1"/>
      <c r="AF1440" s="1">
        <v>-41.640553</v>
      </c>
      <c r="AG1440" s="1">
        <v>-22.204721</v>
      </c>
      <c r="AH1440" s="1" t="s">
        <v>6047</v>
      </c>
      <c r="AI1440" s="1"/>
      <c r="AJ1440" s="1" t="s">
        <v>291</v>
      </c>
      <c r="AK1440" s="1"/>
      <c r="AL1440" s="1" t="s">
        <v>79</v>
      </c>
      <c r="AM1440" s="1" t="s">
        <v>65</v>
      </c>
      <c r="AN1440" s="1" t="s">
        <v>4477</v>
      </c>
      <c r="AO1440" s="2">
        <v>43934.0</v>
      </c>
      <c r="AP1440" s="2">
        <v>43934.7850578704</v>
      </c>
      <c r="AQ1440" s="1" t="s">
        <v>80</v>
      </c>
      <c r="AR1440" s="1" t="s">
        <v>5582</v>
      </c>
      <c r="AS1440" s="1"/>
      <c r="AT1440" s="2">
        <v>44269.931099537</v>
      </c>
    </row>
    <row r="1441" ht="13.5" customHeight="1">
      <c r="A1441" s="1">
        <v>2034675.0</v>
      </c>
      <c r="B1441" s="1" t="s">
        <v>67</v>
      </c>
      <c r="C1441" s="1" t="s">
        <v>68</v>
      </c>
      <c r="D1441" s="1" t="s">
        <v>46</v>
      </c>
      <c r="E1441" s="1" t="s">
        <v>6048</v>
      </c>
      <c r="F1441" s="1"/>
      <c r="G1441" s="1" t="s">
        <v>70</v>
      </c>
      <c r="H1441" s="1" t="s">
        <v>93</v>
      </c>
      <c r="I1441" s="1">
        <v>500.0</v>
      </c>
      <c r="J1441" s="1"/>
      <c r="K1441" s="1"/>
      <c r="L1441" s="1" t="s">
        <v>264</v>
      </c>
      <c r="M1441" s="1" t="s">
        <v>6049</v>
      </c>
      <c r="N1441" s="1" t="s">
        <v>95</v>
      </c>
      <c r="O1441" s="1" t="s">
        <v>96</v>
      </c>
      <c r="P1441" s="2">
        <v>43778.625</v>
      </c>
      <c r="Q1441" s="1" t="s">
        <v>373</v>
      </c>
      <c r="R1441" s="3">
        <v>43778.0</v>
      </c>
      <c r="S1441" s="1"/>
      <c r="T1441" s="1">
        <v>4204301.0</v>
      </c>
      <c r="U1441" s="1" t="s">
        <v>6050</v>
      </c>
      <c r="V1441" s="1" t="s">
        <v>267</v>
      </c>
      <c r="W1441" s="1" t="s">
        <v>59</v>
      </c>
      <c r="X1441" s="1"/>
      <c r="Y1441" s="1"/>
      <c r="Z1441" s="1" t="s">
        <v>98</v>
      </c>
      <c r="AA1441" s="1" t="s">
        <v>6051</v>
      </c>
      <c r="AB1441" s="1" t="str">
        <f>"***696762**"</f>
        <v>***696762**</v>
      </c>
      <c r="AC1441" s="1"/>
      <c r="AD1441" s="1"/>
      <c r="AE1441" s="1"/>
      <c r="AF1441" s="1">
        <v>-52.016109</v>
      </c>
      <c r="AG1441" s="1">
        <v>-27.216389</v>
      </c>
      <c r="AH1441" s="1" t="s">
        <v>6052</v>
      </c>
      <c r="AI1441" s="1"/>
      <c r="AJ1441" s="1" t="s">
        <v>264</v>
      </c>
      <c r="AK1441" s="1"/>
      <c r="AL1441" s="1" t="s">
        <v>79</v>
      </c>
      <c r="AM1441" s="1" t="s">
        <v>65</v>
      </c>
      <c r="AN1441" s="1" t="s">
        <v>624</v>
      </c>
      <c r="AO1441" s="2">
        <v>43889.0</v>
      </c>
      <c r="AP1441" s="2">
        <v>43889.5261574074</v>
      </c>
      <c r="AQ1441" s="1" t="s">
        <v>80</v>
      </c>
      <c r="AR1441" s="1" t="s">
        <v>481</v>
      </c>
      <c r="AS1441" s="1"/>
      <c r="AT1441" s="2">
        <v>44269.931099537</v>
      </c>
    </row>
    <row r="1442" ht="13.5" customHeight="1">
      <c r="A1442" s="1">
        <v>2040651.0</v>
      </c>
      <c r="B1442" s="1" t="s">
        <v>67</v>
      </c>
      <c r="C1442" s="1" t="s">
        <v>68</v>
      </c>
      <c r="D1442" s="1" t="s">
        <v>46</v>
      </c>
      <c r="E1442" s="1" t="s">
        <v>6053</v>
      </c>
      <c r="F1442" s="1"/>
      <c r="G1442" s="1" t="s">
        <v>70</v>
      </c>
      <c r="H1442" s="1" t="s">
        <v>93</v>
      </c>
      <c r="I1442" s="1">
        <v>295000.0</v>
      </c>
      <c r="J1442" s="1"/>
      <c r="K1442" s="1"/>
      <c r="L1442" s="1" t="s">
        <v>172</v>
      </c>
      <c r="M1442" s="1" t="s">
        <v>6054</v>
      </c>
      <c r="N1442" s="1" t="s">
        <v>142</v>
      </c>
      <c r="O1442" s="1" t="s">
        <v>143</v>
      </c>
      <c r="P1442" s="2">
        <v>43778.5416666667</v>
      </c>
      <c r="Q1442" s="1" t="s">
        <v>373</v>
      </c>
      <c r="R1442" s="3">
        <v>43778.0</v>
      </c>
      <c r="S1442" s="1"/>
      <c r="T1442" s="1">
        <v>5105580.0</v>
      </c>
      <c r="U1442" s="1" t="s">
        <v>5187</v>
      </c>
      <c r="V1442" s="1" t="s">
        <v>164</v>
      </c>
      <c r="W1442" s="1" t="s">
        <v>177</v>
      </c>
      <c r="X1442" s="1"/>
      <c r="Y1442" s="1" t="str">
        <f>"02001024759202055"</f>
        <v>02001024759202055</v>
      </c>
      <c r="Z1442" s="1" t="s">
        <v>147</v>
      </c>
      <c r="AA1442" s="1" t="s">
        <v>6055</v>
      </c>
      <c r="AB1442" s="1" t="str">
        <f>"***928841**"</f>
        <v>***928841**</v>
      </c>
      <c r="AC1442" s="1"/>
      <c r="AD1442" s="1"/>
      <c r="AE1442" s="1"/>
      <c r="AF1442" s="1">
        <v>-53.998333</v>
      </c>
      <c r="AG1442" s="1">
        <v>-11.049445</v>
      </c>
      <c r="AH1442" s="1" t="s">
        <v>6056</v>
      </c>
      <c r="AI1442" s="1"/>
      <c r="AJ1442" s="1" t="s">
        <v>172</v>
      </c>
      <c r="AK1442" s="1"/>
      <c r="AL1442" s="1" t="s">
        <v>79</v>
      </c>
      <c r="AM1442" s="1" t="s">
        <v>65</v>
      </c>
      <c r="AN1442" s="1" t="s">
        <v>180</v>
      </c>
      <c r="AO1442" s="2">
        <v>44132.0</v>
      </c>
      <c r="AP1442" s="2">
        <v>44132.6690856481</v>
      </c>
      <c r="AQ1442" s="1" t="s">
        <v>80</v>
      </c>
      <c r="AR1442" s="1" t="s">
        <v>650</v>
      </c>
      <c r="AS1442" s="1"/>
      <c r="AT1442" s="2">
        <v>44269.931099537</v>
      </c>
    </row>
    <row r="1443" ht="13.5" customHeight="1">
      <c r="A1443" s="1"/>
      <c r="B1443" s="1" t="s">
        <v>46</v>
      </c>
      <c r="C1443" s="1" t="s">
        <v>47</v>
      </c>
      <c r="D1443" s="1"/>
      <c r="E1443" s="1" t="s">
        <v>6057</v>
      </c>
      <c r="F1443" s="1"/>
      <c r="G1443" s="1" t="s">
        <v>49</v>
      </c>
      <c r="H1443" s="1" t="s">
        <v>93</v>
      </c>
      <c r="I1443" s="1">
        <v>725000.0</v>
      </c>
      <c r="J1443" s="1"/>
      <c r="K1443" s="1"/>
      <c r="L1443" s="1"/>
      <c r="M1443" s="1" t="s">
        <v>6058</v>
      </c>
      <c r="N1443" s="1" t="s">
        <v>142</v>
      </c>
      <c r="O1443" s="1" t="s">
        <v>143</v>
      </c>
      <c r="P1443" s="2">
        <v>43778.5351273148</v>
      </c>
      <c r="Q1443" s="1" t="s">
        <v>373</v>
      </c>
      <c r="R1443" s="1"/>
      <c r="S1443" s="1"/>
      <c r="T1443" s="1">
        <v>1503093.0</v>
      </c>
      <c r="U1443" s="1" t="s">
        <v>6059</v>
      </c>
      <c r="V1443" s="1" t="s">
        <v>193</v>
      </c>
      <c r="W1443" s="1" t="s">
        <v>177</v>
      </c>
      <c r="X1443" s="1"/>
      <c r="Y1443" s="1"/>
      <c r="Z1443" s="1" t="s">
        <v>147</v>
      </c>
      <c r="AA1443" s="1" t="s">
        <v>6060</v>
      </c>
      <c r="AB1443" s="1" t="str">
        <f>"***775282**"</f>
        <v>***775282**</v>
      </c>
      <c r="AC1443" s="1"/>
      <c r="AD1443" s="1" t="s">
        <v>116</v>
      </c>
      <c r="AE1443" s="1"/>
      <c r="AF1443" s="1">
        <v>-48.905281</v>
      </c>
      <c r="AG1443" s="1">
        <v>-3.879445</v>
      </c>
      <c r="AH1443" s="1" t="s">
        <v>6061</v>
      </c>
      <c r="AI1443" s="1"/>
      <c r="AJ1443" s="1" t="s">
        <v>172</v>
      </c>
      <c r="AK1443" s="1"/>
      <c r="AL1443" s="1"/>
      <c r="AM1443" s="1" t="s">
        <v>65</v>
      </c>
      <c r="AN1443" s="1" t="s">
        <v>1395</v>
      </c>
      <c r="AO1443" s="1"/>
      <c r="AP1443" s="2">
        <v>43988.4396990741</v>
      </c>
      <c r="AQ1443" s="1"/>
      <c r="AR1443" s="1" t="s">
        <v>644</v>
      </c>
      <c r="AS1443" s="1"/>
      <c r="AT1443" s="2">
        <v>44269.931099537</v>
      </c>
    </row>
    <row r="1444" ht="13.5" customHeight="1">
      <c r="A1444" s="1"/>
      <c r="B1444" s="1" t="s">
        <v>46</v>
      </c>
      <c r="C1444" s="1" t="s">
        <v>47</v>
      </c>
      <c r="D1444" s="1"/>
      <c r="E1444" s="1" t="s">
        <v>6062</v>
      </c>
      <c r="F1444" s="1"/>
      <c r="G1444" s="1" t="s">
        <v>49</v>
      </c>
      <c r="H1444" s="1" t="s">
        <v>93</v>
      </c>
      <c r="I1444" s="1">
        <v>485000.0</v>
      </c>
      <c r="J1444" s="1"/>
      <c r="K1444" s="1"/>
      <c r="L1444" s="1"/>
      <c r="M1444" s="1" t="s">
        <v>6063</v>
      </c>
      <c r="N1444" s="1" t="s">
        <v>142</v>
      </c>
      <c r="O1444" s="1" t="s">
        <v>143</v>
      </c>
      <c r="P1444" s="2">
        <v>43778.5206134259</v>
      </c>
      <c r="Q1444" s="1" t="s">
        <v>373</v>
      </c>
      <c r="R1444" s="1"/>
      <c r="S1444" s="1"/>
      <c r="T1444" s="1">
        <v>5103254.0</v>
      </c>
      <c r="U1444" s="1" t="s">
        <v>5275</v>
      </c>
      <c r="V1444" s="1" t="s">
        <v>164</v>
      </c>
      <c r="W1444" s="1" t="s">
        <v>177</v>
      </c>
      <c r="X1444" s="1"/>
      <c r="Y1444" s="1"/>
      <c r="Z1444" s="1" t="s">
        <v>147</v>
      </c>
      <c r="AA1444" s="1" t="s">
        <v>6064</v>
      </c>
      <c r="AB1444" s="1" t="str">
        <f>"***922636**"</f>
        <v>***922636**</v>
      </c>
      <c r="AC1444" s="1"/>
      <c r="AD1444" s="1" t="s">
        <v>116</v>
      </c>
      <c r="AE1444" s="1"/>
      <c r="AF1444" s="1">
        <v>-59.447113</v>
      </c>
      <c r="AG1444" s="1">
        <v>-9.11793</v>
      </c>
      <c r="AH1444" s="1" t="s">
        <v>6065</v>
      </c>
      <c r="AI1444" s="1"/>
      <c r="AJ1444" s="1" t="s">
        <v>172</v>
      </c>
      <c r="AK1444" s="1"/>
      <c r="AL1444" s="1"/>
      <c r="AM1444" s="1" t="s">
        <v>65</v>
      </c>
      <c r="AN1444" s="1" t="s">
        <v>1395</v>
      </c>
      <c r="AO1444" s="1"/>
      <c r="AP1444" s="2">
        <v>44028.5883449074</v>
      </c>
      <c r="AQ1444" s="1"/>
      <c r="AR1444" s="1" t="s">
        <v>871</v>
      </c>
      <c r="AS1444" s="1"/>
      <c r="AT1444" s="2">
        <v>44269.931099537</v>
      </c>
    </row>
    <row r="1445" ht="13.5" customHeight="1">
      <c r="A1445" s="1"/>
      <c r="B1445" s="1" t="s">
        <v>46</v>
      </c>
      <c r="C1445" s="1" t="s">
        <v>47</v>
      </c>
      <c r="D1445" s="1"/>
      <c r="E1445" s="1" t="s">
        <v>6066</v>
      </c>
      <c r="F1445" s="1"/>
      <c r="G1445" s="1"/>
      <c r="H1445" s="1" t="s">
        <v>93</v>
      </c>
      <c r="I1445" s="1">
        <v>3549900.0</v>
      </c>
      <c r="J1445" s="1"/>
      <c r="K1445" s="1"/>
      <c r="L1445" s="1"/>
      <c r="M1445" s="1" t="s">
        <v>6067</v>
      </c>
      <c r="N1445" s="1" t="s">
        <v>142</v>
      </c>
      <c r="O1445" s="1" t="s">
        <v>143</v>
      </c>
      <c r="P1445" s="2">
        <v>43778.4944791667</v>
      </c>
      <c r="Q1445" s="1" t="s">
        <v>74</v>
      </c>
      <c r="R1445" s="3">
        <v>43778.0</v>
      </c>
      <c r="S1445" s="1"/>
      <c r="T1445" s="1">
        <v>1505031.0</v>
      </c>
      <c r="U1445" s="1" t="s">
        <v>5123</v>
      </c>
      <c r="V1445" s="1" t="s">
        <v>193</v>
      </c>
      <c r="W1445" s="1" t="s">
        <v>177</v>
      </c>
      <c r="X1445" s="1"/>
      <c r="Y1445" s="1"/>
      <c r="Z1445" s="1" t="s">
        <v>147</v>
      </c>
      <c r="AA1445" s="1" t="s">
        <v>6068</v>
      </c>
      <c r="AB1445" s="1" t="str">
        <f>"***263921**"</f>
        <v>***263921**</v>
      </c>
      <c r="AC1445" s="1"/>
      <c r="AD1445" s="1" t="s">
        <v>116</v>
      </c>
      <c r="AE1445" s="1"/>
      <c r="AF1445" s="1">
        <v>-55.117222</v>
      </c>
      <c r="AG1445" s="1">
        <v>-6.891666</v>
      </c>
      <c r="AH1445" s="1" t="s">
        <v>6069</v>
      </c>
      <c r="AI1445" s="1"/>
      <c r="AJ1445" s="1" t="s">
        <v>172</v>
      </c>
      <c r="AK1445" s="1"/>
      <c r="AL1445" s="1"/>
      <c r="AM1445" s="1" t="s">
        <v>65</v>
      </c>
      <c r="AN1445" s="1" t="s">
        <v>1395</v>
      </c>
      <c r="AO1445" s="1"/>
      <c r="AP1445" s="2">
        <v>43778.5211458333</v>
      </c>
      <c r="AQ1445" s="1"/>
      <c r="AR1445" s="1" t="s">
        <v>4932</v>
      </c>
      <c r="AS1445" s="1"/>
      <c r="AT1445" s="2">
        <v>44269.931099537</v>
      </c>
    </row>
    <row r="1446" ht="13.5" customHeight="1">
      <c r="A1446" s="1">
        <v>2044219.0</v>
      </c>
      <c r="B1446" s="1" t="s">
        <v>67</v>
      </c>
      <c r="C1446" s="1" t="s">
        <v>68</v>
      </c>
      <c r="D1446" s="1" t="s">
        <v>46</v>
      </c>
      <c r="E1446" s="1" t="s">
        <v>6070</v>
      </c>
      <c r="F1446" s="1"/>
      <c r="G1446" s="1" t="s">
        <v>70</v>
      </c>
      <c r="H1446" s="1" t="s">
        <v>93</v>
      </c>
      <c r="I1446" s="1">
        <v>30300.0</v>
      </c>
      <c r="J1446" s="1"/>
      <c r="K1446" s="1"/>
      <c r="L1446" s="1" t="s">
        <v>196</v>
      </c>
      <c r="M1446" s="1" t="s">
        <v>6071</v>
      </c>
      <c r="N1446" s="1" t="s">
        <v>142</v>
      </c>
      <c r="O1446" s="1"/>
      <c r="P1446" s="2">
        <v>43778.4520833333</v>
      </c>
      <c r="Q1446" s="1" t="s">
        <v>373</v>
      </c>
      <c r="R1446" s="1"/>
      <c r="S1446" s="1"/>
      <c r="T1446" s="1">
        <v>1503093.0</v>
      </c>
      <c r="U1446" s="1" t="s">
        <v>6059</v>
      </c>
      <c r="V1446" s="1" t="s">
        <v>193</v>
      </c>
      <c r="W1446" s="1" t="s">
        <v>177</v>
      </c>
      <c r="X1446" s="1"/>
      <c r="Y1446" s="1" t="str">
        <f>"02001005606202017"</f>
        <v>02001005606202017</v>
      </c>
      <c r="Z1446" s="1" t="s">
        <v>147</v>
      </c>
      <c r="AA1446" s="1" t="s">
        <v>6072</v>
      </c>
      <c r="AB1446" s="1" t="str">
        <f>"***506689**"</f>
        <v>***506689**</v>
      </c>
      <c r="AC1446" s="1"/>
      <c r="AD1446" s="1" t="s">
        <v>116</v>
      </c>
      <c r="AE1446" s="1"/>
      <c r="AF1446" s="1">
        <v>-48.999167</v>
      </c>
      <c r="AG1446" s="1">
        <v>-3.861944</v>
      </c>
      <c r="AH1446" s="1" t="s">
        <v>6073</v>
      </c>
      <c r="AI1446" s="1"/>
      <c r="AJ1446" s="1"/>
      <c r="AK1446" s="1"/>
      <c r="AL1446" s="1" t="s">
        <v>118</v>
      </c>
      <c r="AM1446" s="1"/>
      <c r="AN1446" s="1"/>
      <c r="AO1446" s="2">
        <v>44265.5480208333</v>
      </c>
      <c r="AP1446" s="2">
        <v>44265.5480208333</v>
      </c>
      <c r="AQ1446" s="1" t="s">
        <v>80</v>
      </c>
      <c r="AR1446" s="1" t="s">
        <v>6074</v>
      </c>
      <c r="AS1446" s="1"/>
      <c r="AT1446" s="2">
        <v>44269.931099537</v>
      </c>
    </row>
    <row r="1447" ht="13.5" customHeight="1">
      <c r="A1447" s="1">
        <v>2042985.0</v>
      </c>
      <c r="B1447" s="1" t="s">
        <v>67</v>
      </c>
      <c r="C1447" s="1" t="s">
        <v>68</v>
      </c>
      <c r="D1447" s="1" t="s">
        <v>46</v>
      </c>
      <c r="E1447" s="1" t="s">
        <v>6075</v>
      </c>
      <c r="F1447" s="1"/>
      <c r="G1447" s="1" t="s">
        <v>70</v>
      </c>
      <c r="H1447" s="1" t="s">
        <v>93</v>
      </c>
      <c r="I1447" s="1">
        <v>95000.0</v>
      </c>
      <c r="J1447" s="1"/>
      <c r="K1447" s="1"/>
      <c r="L1447" s="1" t="s">
        <v>172</v>
      </c>
      <c r="M1447" s="1" t="s">
        <v>6076</v>
      </c>
      <c r="N1447" s="1" t="s">
        <v>142</v>
      </c>
      <c r="O1447" s="1" t="s">
        <v>143</v>
      </c>
      <c r="P1447" s="2">
        <v>43777.8333333333</v>
      </c>
      <c r="Q1447" s="1" t="s">
        <v>373</v>
      </c>
      <c r="R1447" s="3">
        <v>43777.0</v>
      </c>
      <c r="S1447" s="1"/>
      <c r="T1447" s="1">
        <v>1100338.0</v>
      </c>
      <c r="U1447" s="1" t="s">
        <v>5017</v>
      </c>
      <c r="V1447" s="1" t="s">
        <v>448</v>
      </c>
      <c r="W1447" s="1" t="s">
        <v>177</v>
      </c>
      <c r="X1447" s="1"/>
      <c r="Y1447" s="1" t="str">
        <f>"02001002929202041"</f>
        <v>02001002929202041</v>
      </c>
      <c r="Z1447" s="1" t="s">
        <v>147</v>
      </c>
      <c r="AA1447" s="1" t="s">
        <v>6077</v>
      </c>
      <c r="AB1447" s="1" t="str">
        <f>"***839552**"</f>
        <v>***839552**</v>
      </c>
      <c r="AC1447" s="1"/>
      <c r="AD1447" s="1"/>
      <c r="AE1447" s="1"/>
      <c r="AF1447" s="1">
        <v>-65.106941</v>
      </c>
      <c r="AG1447" s="1">
        <v>-10.019444</v>
      </c>
      <c r="AH1447" s="1" t="s">
        <v>6078</v>
      </c>
      <c r="AI1447" s="1"/>
      <c r="AJ1447" s="1" t="s">
        <v>172</v>
      </c>
      <c r="AK1447" s="1"/>
      <c r="AL1447" s="1" t="s">
        <v>79</v>
      </c>
      <c r="AM1447" s="1" t="s">
        <v>65</v>
      </c>
      <c r="AN1447" s="1" t="s">
        <v>1395</v>
      </c>
      <c r="AO1447" s="2">
        <v>44223.0</v>
      </c>
      <c r="AP1447" s="2">
        <v>44223.8251736111</v>
      </c>
      <c r="AQ1447" s="1" t="s">
        <v>80</v>
      </c>
      <c r="AR1447" s="1" t="s">
        <v>650</v>
      </c>
      <c r="AS1447" s="1" t="s">
        <v>6079</v>
      </c>
      <c r="AT1447" s="2">
        <v>44269.931099537</v>
      </c>
    </row>
    <row r="1448" ht="13.5" customHeight="1">
      <c r="A1448" s="1">
        <v>2043883.0</v>
      </c>
      <c r="B1448" s="1" t="s">
        <v>67</v>
      </c>
      <c r="C1448" s="1" t="s">
        <v>68</v>
      </c>
      <c r="D1448" s="1" t="s">
        <v>46</v>
      </c>
      <c r="E1448" s="1" t="s">
        <v>6080</v>
      </c>
      <c r="F1448" s="1"/>
      <c r="G1448" s="1" t="s">
        <v>70</v>
      </c>
      <c r="H1448" s="1" t="s">
        <v>50</v>
      </c>
      <c r="I1448" s="1">
        <v>5000.0</v>
      </c>
      <c r="J1448" s="1"/>
      <c r="K1448" s="1"/>
      <c r="L1448" s="1" t="s">
        <v>4389</v>
      </c>
      <c r="M1448" s="1" t="s">
        <v>6081</v>
      </c>
      <c r="N1448" s="1" t="s">
        <v>142</v>
      </c>
      <c r="O1448" s="1" t="s">
        <v>143</v>
      </c>
      <c r="P1448" s="2">
        <v>43777.7916666667</v>
      </c>
      <c r="Q1448" s="1" t="s">
        <v>373</v>
      </c>
      <c r="R1448" s="3">
        <v>43777.0</v>
      </c>
      <c r="S1448" s="1" t="s">
        <v>124</v>
      </c>
      <c r="T1448" s="1">
        <v>3138203.0</v>
      </c>
      <c r="U1448" s="1" t="s">
        <v>5825</v>
      </c>
      <c r="V1448" s="1" t="s">
        <v>126</v>
      </c>
      <c r="W1448" s="1" t="s">
        <v>59</v>
      </c>
      <c r="X1448" s="1"/>
      <c r="Y1448" s="1"/>
      <c r="Z1448" s="1" t="s">
        <v>147</v>
      </c>
      <c r="AA1448" s="1" t="s">
        <v>5826</v>
      </c>
      <c r="AB1448" s="1" t="str">
        <f>"01076662000108"</f>
        <v>01076662000108</v>
      </c>
      <c r="AC1448" s="1"/>
      <c r="AD1448" s="1"/>
      <c r="AE1448" s="1"/>
      <c r="AF1448" s="1">
        <v>-45.01889</v>
      </c>
      <c r="AG1448" s="1">
        <v>-21.228889</v>
      </c>
      <c r="AH1448" s="1" t="s">
        <v>6082</v>
      </c>
      <c r="AI1448" s="1"/>
      <c r="AJ1448" s="1" t="s">
        <v>4389</v>
      </c>
      <c r="AK1448" s="1"/>
      <c r="AL1448" s="1" t="s">
        <v>79</v>
      </c>
      <c r="AM1448" s="1" t="s">
        <v>65</v>
      </c>
      <c r="AN1448" s="1" t="s">
        <v>5828</v>
      </c>
      <c r="AO1448" s="2">
        <v>44257.0</v>
      </c>
      <c r="AP1448" s="2">
        <v>44257.4944097222</v>
      </c>
      <c r="AQ1448" s="1" t="s">
        <v>80</v>
      </c>
      <c r="AR1448" s="1" t="s">
        <v>1136</v>
      </c>
      <c r="AS1448" s="1"/>
      <c r="AT1448" s="2">
        <v>44269.931099537</v>
      </c>
    </row>
    <row r="1449" ht="13.5" customHeight="1">
      <c r="A1449" s="1"/>
      <c r="B1449" s="1" t="s">
        <v>46</v>
      </c>
      <c r="C1449" s="1" t="s">
        <v>47</v>
      </c>
      <c r="D1449" s="1"/>
      <c r="E1449" s="1" t="s">
        <v>6083</v>
      </c>
      <c r="F1449" s="1"/>
      <c r="G1449" s="1"/>
      <c r="H1449" s="1"/>
      <c r="I1449" s="1"/>
      <c r="J1449" s="1"/>
      <c r="K1449" s="1"/>
      <c r="L1449" s="1"/>
      <c r="M1449" s="1"/>
      <c r="N1449" s="1" t="s">
        <v>142</v>
      </c>
      <c r="O1449" s="1" t="s">
        <v>143</v>
      </c>
      <c r="P1449" s="2">
        <v>43777.7541782407</v>
      </c>
      <c r="Q1449" s="1"/>
      <c r="R1449" s="1"/>
      <c r="S1449" s="1"/>
      <c r="T1449" s="1">
        <v>1100338.0</v>
      </c>
      <c r="U1449" s="1" t="s">
        <v>5017</v>
      </c>
      <c r="V1449" s="1" t="s">
        <v>448</v>
      </c>
      <c r="W1449" s="1" t="s">
        <v>177</v>
      </c>
      <c r="X1449" s="1"/>
      <c r="Y1449" s="1" t="str">
        <f>"02001018490202078"</f>
        <v>02001018490202078</v>
      </c>
      <c r="Z1449" s="1" t="s">
        <v>147</v>
      </c>
      <c r="AA1449" s="1"/>
      <c r="AB1449" s="1"/>
      <c r="AC1449" s="1"/>
      <c r="AD1449" s="1" t="s">
        <v>116</v>
      </c>
      <c r="AE1449" s="1"/>
      <c r="AF1449" s="1">
        <v>-65.184166</v>
      </c>
      <c r="AG1449" s="1">
        <v>-10.030277</v>
      </c>
      <c r="AH1449" s="1" t="s">
        <v>6084</v>
      </c>
      <c r="AI1449" s="1"/>
      <c r="AJ1449" s="1" t="s">
        <v>172</v>
      </c>
      <c r="AK1449" s="1"/>
      <c r="AL1449" s="1"/>
      <c r="AM1449" s="1" t="s">
        <v>65</v>
      </c>
      <c r="AN1449" s="1" t="s">
        <v>1395</v>
      </c>
      <c r="AO1449" s="1"/>
      <c r="AP1449" s="2">
        <v>43777.7801388889</v>
      </c>
      <c r="AQ1449" s="1"/>
      <c r="AR1449" s="1"/>
      <c r="AS1449" s="1"/>
      <c r="AT1449" s="2">
        <v>44269.931099537</v>
      </c>
    </row>
    <row r="1450" ht="13.5" customHeight="1">
      <c r="A1450" s="1">
        <v>2043882.0</v>
      </c>
      <c r="B1450" s="1" t="s">
        <v>67</v>
      </c>
      <c r="C1450" s="1" t="s">
        <v>68</v>
      </c>
      <c r="D1450" s="1" t="s">
        <v>46</v>
      </c>
      <c r="E1450" s="1" t="s">
        <v>6085</v>
      </c>
      <c r="F1450" s="1"/>
      <c r="G1450" s="1" t="s">
        <v>70</v>
      </c>
      <c r="H1450" s="1" t="s">
        <v>93</v>
      </c>
      <c r="I1450" s="1">
        <v>197919.1</v>
      </c>
      <c r="J1450" s="1"/>
      <c r="K1450" s="1"/>
      <c r="L1450" s="1" t="s">
        <v>4389</v>
      </c>
      <c r="M1450" s="1" t="s">
        <v>6086</v>
      </c>
      <c r="N1450" s="1" t="s">
        <v>142</v>
      </c>
      <c r="O1450" s="1" t="s">
        <v>143</v>
      </c>
      <c r="P1450" s="2">
        <v>43777.75</v>
      </c>
      <c r="Q1450" s="1" t="s">
        <v>373</v>
      </c>
      <c r="R1450" s="3">
        <v>43777.0</v>
      </c>
      <c r="S1450" s="1"/>
      <c r="T1450" s="1">
        <v>3138203.0</v>
      </c>
      <c r="U1450" s="1" t="s">
        <v>5825</v>
      </c>
      <c r="V1450" s="1" t="s">
        <v>126</v>
      </c>
      <c r="W1450" s="1" t="s">
        <v>59</v>
      </c>
      <c r="X1450" s="1"/>
      <c r="Y1450" s="1"/>
      <c r="Z1450" s="1" t="s">
        <v>147</v>
      </c>
      <c r="AA1450" s="1" t="s">
        <v>5826</v>
      </c>
      <c r="AB1450" s="1" t="str">
        <f>"01076662000108"</f>
        <v>01076662000108</v>
      </c>
      <c r="AC1450" s="1"/>
      <c r="AD1450" s="1"/>
      <c r="AE1450" s="1"/>
      <c r="AF1450" s="1">
        <v>-46.11861</v>
      </c>
      <c r="AG1450" s="1">
        <v>-20.972223</v>
      </c>
      <c r="AH1450" s="1" t="s">
        <v>6087</v>
      </c>
      <c r="AI1450" s="1"/>
      <c r="AJ1450" s="1" t="s">
        <v>4389</v>
      </c>
      <c r="AK1450" s="1"/>
      <c r="AL1450" s="1" t="s">
        <v>79</v>
      </c>
      <c r="AM1450" s="1" t="s">
        <v>65</v>
      </c>
      <c r="AN1450" s="1" t="s">
        <v>5828</v>
      </c>
      <c r="AO1450" s="2">
        <v>44257.0</v>
      </c>
      <c r="AP1450" s="2">
        <v>44257.4938078704</v>
      </c>
      <c r="AQ1450" s="1" t="s">
        <v>80</v>
      </c>
      <c r="AR1450" s="1" t="s">
        <v>379</v>
      </c>
      <c r="AS1450" s="1"/>
      <c r="AT1450" s="2">
        <v>44269.931099537</v>
      </c>
    </row>
    <row r="1451" ht="13.5" customHeight="1">
      <c r="A1451" s="1"/>
      <c r="B1451" s="1" t="s">
        <v>46</v>
      </c>
      <c r="C1451" s="1" t="s">
        <v>657</v>
      </c>
      <c r="D1451" s="1" t="s">
        <v>67</v>
      </c>
      <c r="E1451" s="1" t="s">
        <v>6088</v>
      </c>
      <c r="F1451" s="1"/>
      <c r="G1451" s="1"/>
      <c r="H1451" s="1" t="s">
        <v>93</v>
      </c>
      <c r="I1451" s="1">
        <v>11700.0</v>
      </c>
      <c r="J1451" s="1"/>
      <c r="K1451" s="1" t="s">
        <v>51</v>
      </c>
      <c r="L1451" s="1"/>
      <c r="M1451" s="1" t="s">
        <v>6089</v>
      </c>
      <c r="N1451" s="1" t="s">
        <v>53</v>
      </c>
      <c r="O1451" s="1" t="s">
        <v>54</v>
      </c>
      <c r="P1451" s="2">
        <v>43777.7205671296</v>
      </c>
      <c r="Q1451" s="1" t="s">
        <v>74</v>
      </c>
      <c r="R1451" s="1"/>
      <c r="S1451" s="1"/>
      <c r="T1451" s="1">
        <v>4208203.0</v>
      </c>
      <c r="U1451" s="1" t="s">
        <v>735</v>
      </c>
      <c r="V1451" s="1" t="s">
        <v>267</v>
      </c>
      <c r="W1451" s="1" t="s">
        <v>288</v>
      </c>
      <c r="X1451" s="1"/>
      <c r="Y1451" s="1"/>
      <c r="Z1451" s="1" t="s">
        <v>60</v>
      </c>
      <c r="AA1451" s="1" t="s">
        <v>5231</v>
      </c>
      <c r="AB1451" s="1" t="str">
        <f>"***378639**"</f>
        <v>***378639**</v>
      </c>
      <c r="AC1451" s="1"/>
      <c r="AD1451" s="1" t="s">
        <v>62</v>
      </c>
      <c r="AE1451" s="1"/>
      <c r="AF1451" s="1">
        <v>-48.671391</v>
      </c>
      <c r="AG1451" s="1">
        <v>-26.919443</v>
      </c>
      <c r="AH1451" s="1" t="s">
        <v>6090</v>
      </c>
      <c r="AI1451" s="1"/>
      <c r="AJ1451" s="1" t="s">
        <v>264</v>
      </c>
      <c r="AK1451" s="1"/>
      <c r="AL1451" s="1"/>
      <c r="AM1451" s="1" t="s">
        <v>65</v>
      </c>
      <c r="AN1451" s="1"/>
      <c r="AO1451" s="1"/>
      <c r="AP1451" s="2">
        <v>43777.7275578704</v>
      </c>
      <c r="AQ1451" s="1"/>
      <c r="AR1451" s="1" t="s">
        <v>3247</v>
      </c>
      <c r="AS1451" s="1"/>
      <c r="AT1451" s="2">
        <v>44269.931099537</v>
      </c>
    </row>
    <row r="1452" ht="13.5" customHeight="1">
      <c r="A1452" s="1">
        <v>2035889.0</v>
      </c>
      <c r="B1452" s="1" t="s">
        <v>67</v>
      </c>
      <c r="C1452" s="1" t="s">
        <v>68</v>
      </c>
      <c r="D1452" s="1" t="s">
        <v>46</v>
      </c>
      <c r="E1452" s="1" t="s">
        <v>6091</v>
      </c>
      <c r="F1452" s="1"/>
      <c r="G1452" s="1" t="s">
        <v>70</v>
      </c>
      <c r="H1452" s="1" t="s">
        <v>93</v>
      </c>
      <c r="I1452" s="1">
        <v>1730925.0</v>
      </c>
      <c r="J1452" s="1"/>
      <c r="K1452" s="1"/>
      <c r="L1452" s="1" t="s">
        <v>172</v>
      </c>
      <c r="M1452" s="1" t="s">
        <v>6092</v>
      </c>
      <c r="N1452" s="1" t="s">
        <v>142</v>
      </c>
      <c r="O1452" s="1" t="s">
        <v>143</v>
      </c>
      <c r="P1452" s="2">
        <v>43777.7083333333</v>
      </c>
      <c r="Q1452" s="1" t="s">
        <v>74</v>
      </c>
      <c r="R1452" s="3">
        <v>43902.0</v>
      </c>
      <c r="S1452" s="1"/>
      <c r="T1452" s="1">
        <v>1502764.0</v>
      </c>
      <c r="U1452" s="1" t="s">
        <v>6093</v>
      </c>
      <c r="V1452" s="1" t="s">
        <v>193</v>
      </c>
      <c r="W1452" s="1" t="s">
        <v>177</v>
      </c>
      <c r="X1452" s="1"/>
      <c r="Y1452" s="1" t="str">
        <f>"02001009156202023"</f>
        <v>02001009156202023</v>
      </c>
      <c r="Z1452" s="1" t="s">
        <v>147</v>
      </c>
      <c r="AA1452" s="1" t="s">
        <v>6094</v>
      </c>
      <c r="AB1452" s="1" t="str">
        <f>"***183581**"</f>
        <v>***183581**</v>
      </c>
      <c r="AC1452" s="1"/>
      <c r="AD1452" s="1"/>
      <c r="AE1452" s="1"/>
      <c r="AF1452" s="1">
        <v>-51.503056</v>
      </c>
      <c r="AG1452" s="1">
        <v>-9.109445</v>
      </c>
      <c r="AH1452" s="1" t="s">
        <v>6095</v>
      </c>
      <c r="AI1452" s="1"/>
      <c r="AJ1452" s="1" t="s">
        <v>172</v>
      </c>
      <c r="AK1452" s="1"/>
      <c r="AL1452" s="1" t="s">
        <v>79</v>
      </c>
      <c r="AM1452" s="1" t="s">
        <v>65</v>
      </c>
      <c r="AN1452" s="1" t="s">
        <v>2164</v>
      </c>
      <c r="AO1452" s="2">
        <v>43921.0</v>
      </c>
      <c r="AP1452" s="2">
        <v>43921.7805555556</v>
      </c>
      <c r="AQ1452" s="1" t="s">
        <v>80</v>
      </c>
      <c r="AR1452" s="1" t="s">
        <v>6096</v>
      </c>
      <c r="AS1452" s="1" t="s">
        <v>4933</v>
      </c>
      <c r="AT1452" s="2">
        <v>44269.931099537</v>
      </c>
    </row>
    <row r="1453" ht="13.5" customHeight="1">
      <c r="A1453" s="1"/>
      <c r="B1453" s="1" t="s">
        <v>46</v>
      </c>
      <c r="C1453" s="1" t="s">
        <v>47</v>
      </c>
      <c r="D1453" s="1"/>
      <c r="E1453" s="1" t="s">
        <v>6097</v>
      </c>
      <c r="F1453" s="1"/>
      <c r="G1453" s="1"/>
      <c r="H1453" s="1" t="s">
        <v>93</v>
      </c>
      <c r="I1453" s="1">
        <v>22000.0</v>
      </c>
      <c r="J1453" s="1"/>
      <c r="K1453" s="1"/>
      <c r="L1453" s="1"/>
      <c r="M1453" s="1" t="s">
        <v>6098</v>
      </c>
      <c r="N1453" s="1" t="s">
        <v>142</v>
      </c>
      <c r="O1453" s="1" t="s">
        <v>143</v>
      </c>
      <c r="P1453" s="2">
        <v>43777.6822800926</v>
      </c>
      <c r="Q1453" s="1" t="s">
        <v>55</v>
      </c>
      <c r="R1453" s="1"/>
      <c r="S1453" s="1"/>
      <c r="T1453" s="1">
        <v>2102804.0</v>
      </c>
      <c r="U1453" s="1" t="s">
        <v>4959</v>
      </c>
      <c r="V1453" s="1" t="s">
        <v>540</v>
      </c>
      <c r="W1453" s="1" t="s">
        <v>127</v>
      </c>
      <c r="X1453" s="1"/>
      <c r="Y1453" s="1"/>
      <c r="Z1453" s="1" t="s">
        <v>147</v>
      </c>
      <c r="AA1453" s="1" t="s">
        <v>6099</v>
      </c>
      <c r="AB1453" s="1" t="str">
        <f>"***597429**"</f>
        <v>***597429**</v>
      </c>
      <c r="AC1453" s="1"/>
      <c r="AD1453" s="1" t="s">
        <v>116</v>
      </c>
      <c r="AE1453" s="1"/>
      <c r="AF1453" s="1">
        <v>-47.45639</v>
      </c>
      <c r="AG1453" s="1">
        <v>-6.945556</v>
      </c>
      <c r="AH1453" s="1" t="s">
        <v>6100</v>
      </c>
      <c r="AI1453" s="1"/>
      <c r="AJ1453" s="1" t="s">
        <v>537</v>
      </c>
      <c r="AK1453" s="1"/>
      <c r="AL1453" s="1"/>
      <c r="AM1453" s="1" t="s">
        <v>65</v>
      </c>
      <c r="AN1453" s="1" t="s">
        <v>4203</v>
      </c>
      <c r="AO1453" s="1"/>
      <c r="AP1453" s="2">
        <v>43777.6903587963</v>
      </c>
      <c r="AQ1453" s="1"/>
      <c r="AR1453" s="1" t="s">
        <v>2055</v>
      </c>
      <c r="AS1453" s="1"/>
      <c r="AT1453" s="2">
        <v>44269.931099537</v>
      </c>
    </row>
    <row r="1454" ht="13.5" customHeight="1">
      <c r="A1454" s="1">
        <v>2035878.0</v>
      </c>
      <c r="B1454" s="1" t="s">
        <v>67</v>
      </c>
      <c r="C1454" s="1" t="s">
        <v>68</v>
      </c>
      <c r="D1454" s="1" t="s">
        <v>46</v>
      </c>
      <c r="E1454" s="1" t="s">
        <v>6101</v>
      </c>
      <c r="F1454" s="1"/>
      <c r="G1454" s="1" t="s">
        <v>70</v>
      </c>
      <c r="H1454" s="1" t="s">
        <v>93</v>
      </c>
      <c r="I1454" s="1">
        <v>599460.0</v>
      </c>
      <c r="J1454" s="1"/>
      <c r="K1454" s="1"/>
      <c r="L1454" s="1" t="s">
        <v>172</v>
      </c>
      <c r="M1454" s="1" t="s">
        <v>6102</v>
      </c>
      <c r="N1454" s="1" t="s">
        <v>142</v>
      </c>
      <c r="O1454" s="1" t="s">
        <v>143</v>
      </c>
      <c r="P1454" s="2">
        <v>43777.6666666667</v>
      </c>
      <c r="Q1454" s="1" t="s">
        <v>74</v>
      </c>
      <c r="R1454" s="3">
        <v>43898.0</v>
      </c>
      <c r="S1454" s="1"/>
      <c r="T1454" s="1">
        <v>5100250.0</v>
      </c>
      <c r="U1454" s="1" t="s">
        <v>6103</v>
      </c>
      <c r="V1454" s="1" t="s">
        <v>164</v>
      </c>
      <c r="W1454" s="1" t="s">
        <v>177</v>
      </c>
      <c r="X1454" s="1"/>
      <c r="Y1454" s="1" t="str">
        <f>"02001009129202051"</f>
        <v>02001009129202051</v>
      </c>
      <c r="Z1454" s="1" t="s">
        <v>147</v>
      </c>
      <c r="AA1454" s="1" t="s">
        <v>6104</v>
      </c>
      <c r="AB1454" s="1" t="str">
        <f>"***329862**"</f>
        <v>***329862**</v>
      </c>
      <c r="AC1454" s="1"/>
      <c r="AD1454" s="1"/>
      <c r="AE1454" s="1"/>
      <c r="AF1454" s="1">
        <v>-56.298054</v>
      </c>
      <c r="AG1454" s="1">
        <v>-10.062222</v>
      </c>
      <c r="AH1454" s="1" t="s">
        <v>6105</v>
      </c>
      <c r="AI1454" s="1"/>
      <c r="AJ1454" s="1" t="s">
        <v>172</v>
      </c>
      <c r="AK1454" s="1"/>
      <c r="AL1454" s="1" t="s">
        <v>79</v>
      </c>
      <c r="AM1454" s="1" t="s">
        <v>65</v>
      </c>
      <c r="AN1454" s="1" t="s">
        <v>2164</v>
      </c>
      <c r="AO1454" s="2">
        <v>43921.0</v>
      </c>
      <c r="AP1454" s="2">
        <v>43921.6840277778</v>
      </c>
      <c r="AQ1454" s="1" t="s">
        <v>80</v>
      </c>
      <c r="AR1454" s="1" t="s">
        <v>650</v>
      </c>
      <c r="AS1454" s="1"/>
      <c r="AT1454" s="2">
        <v>44269.931099537</v>
      </c>
    </row>
    <row r="1455" ht="13.5" customHeight="1">
      <c r="A1455" s="1">
        <v>2035881.0</v>
      </c>
      <c r="B1455" s="1" t="s">
        <v>67</v>
      </c>
      <c r="C1455" s="1" t="s">
        <v>68</v>
      </c>
      <c r="D1455" s="1" t="s">
        <v>46</v>
      </c>
      <c r="E1455" s="1" t="s">
        <v>6106</v>
      </c>
      <c r="F1455" s="1"/>
      <c r="G1455" s="1" t="s">
        <v>70</v>
      </c>
      <c r="H1455" s="1" t="s">
        <v>93</v>
      </c>
      <c r="I1455" s="1">
        <v>113300.0</v>
      </c>
      <c r="J1455" s="1"/>
      <c r="K1455" s="1"/>
      <c r="L1455" s="1" t="s">
        <v>172</v>
      </c>
      <c r="M1455" s="1" t="s">
        <v>6107</v>
      </c>
      <c r="N1455" s="1" t="s">
        <v>142</v>
      </c>
      <c r="O1455" s="1" t="s">
        <v>143</v>
      </c>
      <c r="P1455" s="2">
        <v>43777.6666666667</v>
      </c>
      <c r="Q1455" s="1" t="s">
        <v>74</v>
      </c>
      <c r="R1455" s="3">
        <v>43901.0</v>
      </c>
      <c r="S1455" s="1"/>
      <c r="T1455" s="1">
        <v>5103700.0</v>
      </c>
      <c r="U1455" s="1" t="s">
        <v>5945</v>
      </c>
      <c r="V1455" s="1" t="s">
        <v>164</v>
      </c>
      <c r="W1455" s="1" t="s">
        <v>177</v>
      </c>
      <c r="X1455" s="1"/>
      <c r="Y1455" s="1" t="str">
        <f>"02001009136202052"</f>
        <v>02001009136202052</v>
      </c>
      <c r="Z1455" s="1" t="s">
        <v>147</v>
      </c>
      <c r="AA1455" s="1" t="s">
        <v>6108</v>
      </c>
      <c r="AB1455" s="1" t="str">
        <f>"***965321**"</f>
        <v>***965321**</v>
      </c>
      <c r="AC1455" s="1"/>
      <c r="AD1455" s="1"/>
      <c r="AE1455" s="1"/>
      <c r="AF1455" s="1">
        <v>-55.134167</v>
      </c>
      <c r="AG1455" s="1">
        <v>-12.516389</v>
      </c>
      <c r="AH1455" s="1" t="s">
        <v>6109</v>
      </c>
      <c r="AI1455" s="1"/>
      <c r="AJ1455" s="1" t="s">
        <v>172</v>
      </c>
      <c r="AK1455" s="1"/>
      <c r="AL1455" s="1" t="s">
        <v>79</v>
      </c>
      <c r="AM1455" s="1" t="s">
        <v>65</v>
      </c>
      <c r="AN1455" s="1" t="s">
        <v>2164</v>
      </c>
      <c r="AO1455" s="2">
        <v>43921.0</v>
      </c>
      <c r="AP1455" s="2">
        <v>43921.6979513889</v>
      </c>
      <c r="AQ1455" s="1" t="s">
        <v>80</v>
      </c>
      <c r="AR1455" s="1" t="s">
        <v>650</v>
      </c>
      <c r="AS1455" s="1" t="s">
        <v>4933</v>
      </c>
      <c r="AT1455" s="2">
        <v>44269.931099537</v>
      </c>
    </row>
    <row r="1456" ht="13.5" customHeight="1">
      <c r="A1456" s="1"/>
      <c r="B1456" s="1" t="s">
        <v>46</v>
      </c>
      <c r="C1456" s="1" t="s">
        <v>47</v>
      </c>
      <c r="D1456" s="1"/>
      <c r="E1456" s="1" t="s">
        <v>6110</v>
      </c>
      <c r="F1456" s="1"/>
      <c r="G1456" s="1"/>
      <c r="H1456" s="1" t="s">
        <v>50</v>
      </c>
      <c r="I1456" s="1">
        <v>110500.0</v>
      </c>
      <c r="J1456" s="1"/>
      <c r="K1456" s="1" t="s">
        <v>140</v>
      </c>
      <c r="L1456" s="1"/>
      <c r="M1456" s="1" t="s">
        <v>6111</v>
      </c>
      <c r="N1456" s="1" t="s">
        <v>212</v>
      </c>
      <c r="O1456" s="1" t="s">
        <v>213</v>
      </c>
      <c r="P1456" s="2">
        <v>43777.6373263889</v>
      </c>
      <c r="Q1456" s="1" t="s">
        <v>373</v>
      </c>
      <c r="R1456" s="1"/>
      <c r="S1456" s="1"/>
      <c r="T1456" s="1">
        <v>5001243.0</v>
      </c>
      <c r="U1456" s="1" t="s">
        <v>6112</v>
      </c>
      <c r="V1456" s="1" t="s">
        <v>529</v>
      </c>
      <c r="W1456" s="1" t="s">
        <v>127</v>
      </c>
      <c r="X1456" s="1"/>
      <c r="Y1456" s="1"/>
      <c r="Z1456" s="1" t="s">
        <v>215</v>
      </c>
      <c r="AA1456" s="1" t="s">
        <v>6113</v>
      </c>
      <c r="AB1456" s="1" t="str">
        <f>"***488841**"</f>
        <v>***488841**</v>
      </c>
      <c r="AC1456" s="1"/>
      <c r="AD1456" s="1" t="s">
        <v>62</v>
      </c>
      <c r="AE1456" s="1"/>
      <c r="AF1456" s="1">
        <v>-55.613331</v>
      </c>
      <c r="AG1456" s="1">
        <v>-22.756945</v>
      </c>
      <c r="AH1456" s="1" t="s">
        <v>6114</v>
      </c>
      <c r="AI1456" s="1"/>
      <c r="AJ1456" s="1" t="s">
        <v>533</v>
      </c>
      <c r="AK1456" s="1"/>
      <c r="AL1456" s="1"/>
      <c r="AM1456" s="1" t="s">
        <v>65</v>
      </c>
      <c r="AN1456" s="1" t="s">
        <v>534</v>
      </c>
      <c r="AO1456" s="1"/>
      <c r="AP1456" s="2">
        <v>43777.6644444445</v>
      </c>
      <c r="AQ1456" s="1"/>
      <c r="AR1456" s="1" t="s">
        <v>1631</v>
      </c>
      <c r="AS1456" s="1"/>
      <c r="AT1456" s="2">
        <v>44269.931099537</v>
      </c>
    </row>
    <row r="1457" ht="13.5" customHeight="1">
      <c r="A1457" s="1"/>
      <c r="B1457" s="1" t="s">
        <v>46</v>
      </c>
      <c r="C1457" s="1" t="s">
        <v>47</v>
      </c>
      <c r="D1457" s="1"/>
      <c r="E1457" s="1" t="s">
        <v>6115</v>
      </c>
      <c r="F1457" s="1"/>
      <c r="G1457" s="1" t="s">
        <v>49</v>
      </c>
      <c r="H1457" s="1" t="s">
        <v>93</v>
      </c>
      <c r="I1457" s="1">
        <v>1216250.0</v>
      </c>
      <c r="J1457" s="1"/>
      <c r="K1457" s="1"/>
      <c r="L1457" s="1"/>
      <c r="M1457" s="1" t="s">
        <v>6116</v>
      </c>
      <c r="N1457" s="1" t="s">
        <v>142</v>
      </c>
      <c r="O1457" s="1" t="s">
        <v>143</v>
      </c>
      <c r="P1457" s="2">
        <v>43777.6129282407</v>
      </c>
      <c r="Q1457" s="1" t="s">
        <v>373</v>
      </c>
      <c r="R1457" s="1"/>
      <c r="S1457" s="1"/>
      <c r="T1457" s="1">
        <v>1505031.0</v>
      </c>
      <c r="U1457" s="1" t="s">
        <v>5123</v>
      </c>
      <c r="V1457" s="1" t="s">
        <v>193</v>
      </c>
      <c r="W1457" s="1" t="s">
        <v>177</v>
      </c>
      <c r="X1457" s="1"/>
      <c r="Y1457" s="1"/>
      <c r="Z1457" s="1" t="s">
        <v>147</v>
      </c>
      <c r="AA1457" s="1" t="s">
        <v>6117</v>
      </c>
      <c r="AB1457" s="1" t="str">
        <f>"***718301**"</f>
        <v>***718301**</v>
      </c>
      <c r="AC1457" s="1"/>
      <c r="AD1457" s="1" t="s">
        <v>116</v>
      </c>
      <c r="AE1457" s="1"/>
      <c r="AF1457" s="1">
        <v>-55.418892</v>
      </c>
      <c r="AG1457" s="1">
        <v>-7.240833</v>
      </c>
      <c r="AH1457" s="1" t="s">
        <v>6118</v>
      </c>
      <c r="AI1457" s="1"/>
      <c r="AJ1457" s="1" t="s">
        <v>172</v>
      </c>
      <c r="AK1457" s="1"/>
      <c r="AL1457" s="1"/>
      <c r="AM1457" s="1" t="s">
        <v>65</v>
      </c>
      <c r="AN1457" s="1" t="s">
        <v>1395</v>
      </c>
      <c r="AO1457" s="1"/>
      <c r="AP1457" s="2">
        <v>44202.8773263889</v>
      </c>
      <c r="AQ1457" s="1"/>
      <c r="AR1457" s="1" t="s">
        <v>871</v>
      </c>
      <c r="AS1457" s="1"/>
      <c r="AT1457" s="2">
        <v>44269.931099537</v>
      </c>
    </row>
    <row r="1458" ht="13.5" customHeight="1">
      <c r="A1458" s="1">
        <v>2042697.0</v>
      </c>
      <c r="B1458" s="1" t="s">
        <v>67</v>
      </c>
      <c r="C1458" s="1" t="s">
        <v>68</v>
      </c>
      <c r="D1458" s="1" t="s">
        <v>46</v>
      </c>
      <c r="E1458" s="1" t="s">
        <v>6119</v>
      </c>
      <c r="F1458" s="1"/>
      <c r="G1458" s="1" t="s">
        <v>70</v>
      </c>
      <c r="H1458" s="1" t="s">
        <v>50</v>
      </c>
      <c r="I1458" s="1">
        <v>500.0</v>
      </c>
      <c r="J1458" s="1"/>
      <c r="K1458" s="1"/>
      <c r="L1458" s="1" t="s">
        <v>1040</v>
      </c>
      <c r="M1458" s="1" t="s">
        <v>6120</v>
      </c>
      <c r="N1458" s="1" t="s">
        <v>72</v>
      </c>
      <c r="O1458" s="1" t="s">
        <v>213</v>
      </c>
      <c r="P1458" s="2">
        <v>43777.5416666667</v>
      </c>
      <c r="Q1458" s="1" t="s">
        <v>373</v>
      </c>
      <c r="R1458" s="3">
        <v>43777.0</v>
      </c>
      <c r="S1458" s="1"/>
      <c r="T1458" s="1">
        <v>2615607.0</v>
      </c>
      <c r="U1458" s="1" t="s">
        <v>5422</v>
      </c>
      <c r="V1458" s="1" t="s">
        <v>1037</v>
      </c>
      <c r="W1458" s="1" t="s">
        <v>113</v>
      </c>
      <c r="X1458" s="1"/>
      <c r="Y1458" s="1" t="str">
        <f>"02019000248202059"</f>
        <v>02019000248202059</v>
      </c>
      <c r="Z1458" s="1" t="s">
        <v>215</v>
      </c>
      <c r="AA1458" s="1" t="s">
        <v>6121</v>
      </c>
      <c r="AB1458" s="1" t="str">
        <f>"14081275000101"</f>
        <v>14081275000101</v>
      </c>
      <c r="AC1458" s="1"/>
      <c r="AD1458" s="1"/>
      <c r="AE1458" s="1"/>
      <c r="AF1458" s="1">
        <v>-40.252224</v>
      </c>
      <c r="AG1458" s="1">
        <v>-7.723889</v>
      </c>
      <c r="AH1458" s="1" t="s">
        <v>6122</v>
      </c>
      <c r="AI1458" s="1"/>
      <c r="AJ1458" s="1" t="s">
        <v>1040</v>
      </c>
      <c r="AK1458" s="1"/>
      <c r="AL1458" s="1" t="s">
        <v>79</v>
      </c>
      <c r="AM1458" s="1" t="s">
        <v>65</v>
      </c>
      <c r="AN1458" s="1" t="s">
        <v>1279</v>
      </c>
      <c r="AO1458" s="2">
        <v>44215.0</v>
      </c>
      <c r="AP1458" s="2">
        <v>44215.7418981482</v>
      </c>
      <c r="AQ1458" s="1" t="s">
        <v>80</v>
      </c>
      <c r="AR1458" s="1" t="s">
        <v>909</v>
      </c>
      <c r="AS1458" s="1"/>
      <c r="AT1458" s="2">
        <v>44269.931099537</v>
      </c>
    </row>
    <row r="1459" ht="13.5" customHeight="1">
      <c r="A1459" s="1"/>
      <c r="B1459" s="1" t="s">
        <v>46</v>
      </c>
      <c r="C1459" s="1" t="s">
        <v>47</v>
      </c>
      <c r="D1459" s="1"/>
      <c r="E1459" s="1" t="s">
        <v>6123</v>
      </c>
      <c r="F1459" s="1"/>
      <c r="G1459" s="1" t="s">
        <v>49</v>
      </c>
      <c r="H1459" s="1" t="s">
        <v>50</v>
      </c>
      <c r="I1459" s="1">
        <v>210000.0</v>
      </c>
      <c r="J1459" s="1"/>
      <c r="K1459" s="1" t="s">
        <v>140</v>
      </c>
      <c r="L1459" s="1"/>
      <c r="M1459" s="1" t="s">
        <v>6124</v>
      </c>
      <c r="N1459" s="1" t="s">
        <v>123</v>
      </c>
      <c r="O1459" s="1" t="s">
        <v>73</v>
      </c>
      <c r="P1459" s="2">
        <v>43777.5238078704</v>
      </c>
      <c r="Q1459" s="1" t="s">
        <v>74</v>
      </c>
      <c r="R1459" s="3">
        <v>43777.0</v>
      </c>
      <c r="S1459" s="1"/>
      <c r="T1459" s="1">
        <v>5105580.0</v>
      </c>
      <c r="U1459" s="1" t="s">
        <v>5187</v>
      </c>
      <c r="V1459" s="1" t="s">
        <v>164</v>
      </c>
      <c r="W1459" s="1" t="s">
        <v>177</v>
      </c>
      <c r="X1459" s="1"/>
      <c r="Y1459" s="1"/>
      <c r="Z1459" s="1" t="s">
        <v>76</v>
      </c>
      <c r="AA1459" s="1" t="s">
        <v>6125</v>
      </c>
      <c r="AB1459" s="1" t="str">
        <f>"***085199**"</f>
        <v>***085199**</v>
      </c>
      <c r="AC1459" s="1"/>
      <c r="AD1459" s="1" t="s">
        <v>116</v>
      </c>
      <c r="AE1459" s="1"/>
      <c r="AF1459" s="1">
        <v>-54.780003</v>
      </c>
      <c r="AG1459" s="1">
        <v>-11.025556</v>
      </c>
      <c r="AH1459" s="1" t="s">
        <v>6126</v>
      </c>
      <c r="AI1459" s="1"/>
      <c r="AJ1459" s="1" t="s">
        <v>167</v>
      </c>
      <c r="AK1459" s="1"/>
      <c r="AL1459" s="1"/>
      <c r="AM1459" s="1" t="s">
        <v>65</v>
      </c>
      <c r="AN1459" s="1" t="s">
        <v>337</v>
      </c>
      <c r="AO1459" s="1"/>
      <c r="AP1459" s="2">
        <v>44022.6392592593</v>
      </c>
      <c r="AQ1459" s="1"/>
      <c r="AR1459" s="1" t="s">
        <v>793</v>
      </c>
      <c r="AS1459" s="1"/>
      <c r="AT1459" s="2">
        <v>44269.931099537</v>
      </c>
    </row>
    <row r="1460" ht="13.5" customHeight="1">
      <c r="A1460" s="1">
        <v>2035879.0</v>
      </c>
      <c r="B1460" s="1" t="s">
        <v>67</v>
      </c>
      <c r="C1460" s="1" t="s">
        <v>68</v>
      </c>
      <c r="D1460" s="1" t="s">
        <v>46</v>
      </c>
      <c r="E1460" s="1" t="s">
        <v>6127</v>
      </c>
      <c r="F1460" s="1"/>
      <c r="G1460" s="1" t="s">
        <v>70</v>
      </c>
      <c r="H1460" s="1" t="s">
        <v>50</v>
      </c>
      <c r="I1460" s="1">
        <v>201500.0</v>
      </c>
      <c r="J1460" s="1"/>
      <c r="K1460" s="1"/>
      <c r="L1460" s="1" t="s">
        <v>172</v>
      </c>
      <c r="M1460" s="1" t="s">
        <v>6128</v>
      </c>
      <c r="N1460" s="1" t="s">
        <v>72</v>
      </c>
      <c r="O1460" s="1" t="s">
        <v>73</v>
      </c>
      <c r="P1460" s="2">
        <v>43777.5</v>
      </c>
      <c r="Q1460" s="1" t="s">
        <v>74</v>
      </c>
      <c r="R1460" s="3">
        <v>43776.0</v>
      </c>
      <c r="S1460" s="1"/>
      <c r="T1460" s="1">
        <v>5300108.0</v>
      </c>
      <c r="U1460" s="1" t="s">
        <v>1541</v>
      </c>
      <c r="V1460" s="1" t="s">
        <v>1542</v>
      </c>
      <c r="W1460" s="1" t="s">
        <v>177</v>
      </c>
      <c r="X1460" s="1"/>
      <c r="Y1460" s="1" t="str">
        <f>"02001009132202074"</f>
        <v>02001009132202074</v>
      </c>
      <c r="Z1460" s="1" t="s">
        <v>76</v>
      </c>
      <c r="AA1460" s="1" t="s">
        <v>6129</v>
      </c>
      <c r="AB1460" s="1" t="str">
        <f t="shared" ref="AB1460:AB1461" si="83">"***295222**"</f>
        <v>***295222**</v>
      </c>
      <c r="AC1460" s="1"/>
      <c r="AD1460" s="1"/>
      <c r="AE1460" s="1"/>
      <c r="AF1460" s="1">
        <v>-47.861111</v>
      </c>
      <c r="AG1460" s="1">
        <v>-15.766389</v>
      </c>
      <c r="AH1460" s="1" t="s">
        <v>6130</v>
      </c>
      <c r="AI1460" s="1"/>
      <c r="AJ1460" s="1" t="s">
        <v>172</v>
      </c>
      <c r="AK1460" s="1"/>
      <c r="AL1460" s="1" t="s">
        <v>79</v>
      </c>
      <c r="AM1460" s="1" t="s">
        <v>65</v>
      </c>
      <c r="AN1460" s="1" t="s">
        <v>2164</v>
      </c>
      <c r="AO1460" s="2">
        <v>43921.0</v>
      </c>
      <c r="AP1460" s="2">
        <v>43921.6919907407</v>
      </c>
      <c r="AQ1460" s="1" t="s">
        <v>80</v>
      </c>
      <c r="AR1460" s="1" t="s">
        <v>81</v>
      </c>
      <c r="AS1460" s="1" t="s">
        <v>4933</v>
      </c>
      <c r="AT1460" s="2">
        <v>44269.931099537</v>
      </c>
    </row>
    <row r="1461" ht="13.5" customHeight="1">
      <c r="A1461" s="1">
        <v>2035883.0</v>
      </c>
      <c r="B1461" s="1" t="s">
        <v>67</v>
      </c>
      <c r="C1461" s="1" t="s">
        <v>68</v>
      </c>
      <c r="D1461" s="1" t="s">
        <v>46</v>
      </c>
      <c r="E1461" s="1" t="s">
        <v>6131</v>
      </c>
      <c r="F1461" s="1"/>
      <c r="G1461" s="1" t="s">
        <v>70</v>
      </c>
      <c r="H1461" s="1" t="s">
        <v>93</v>
      </c>
      <c r="I1461" s="1">
        <v>803650.0</v>
      </c>
      <c r="J1461" s="1"/>
      <c r="K1461" s="1"/>
      <c r="L1461" s="1" t="s">
        <v>172</v>
      </c>
      <c r="M1461" s="1" t="s">
        <v>6132</v>
      </c>
      <c r="N1461" s="1" t="s">
        <v>142</v>
      </c>
      <c r="O1461" s="1" t="s">
        <v>143</v>
      </c>
      <c r="P1461" s="2">
        <v>43777.5</v>
      </c>
      <c r="Q1461" s="1" t="s">
        <v>74</v>
      </c>
      <c r="R1461" s="3">
        <v>43895.0</v>
      </c>
      <c r="S1461" s="1"/>
      <c r="T1461" s="1">
        <v>1300706.0</v>
      </c>
      <c r="U1461" s="1" t="s">
        <v>2161</v>
      </c>
      <c r="V1461" s="1" t="s">
        <v>486</v>
      </c>
      <c r="W1461" s="1" t="s">
        <v>177</v>
      </c>
      <c r="X1461" s="1"/>
      <c r="Y1461" s="1" t="str">
        <f>"02001009143202054"</f>
        <v>02001009143202054</v>
      </c>
      <c r="Z1461" s="1" t="s">
        <v>147</v>
      </c>
      <c r="AA1461" s="1" t="s">
        <v>6129</v>
      </c>
      <c r="AB1461" s="1" t="str">
        <f t="shared" si="83"/>
        <v>***295222**</v>
      </c>
      <c r="AC1461" s="1"/>
      <c r="AD1461" s="1"/>
      <c r="AE1461" s="1"/>
      <c r="AF1461" s="1">
        <v>-67.41333</v>
      </c>
      <c r="AG1461" s="1">
        <v>-9.173889</v>
      </c>
      <c r="AH1461" s="1" t="s">
        <v>6133</v>
      </c>
      <c r="AI1461" s="1"/>
      <c r="AJ1461" s="1" t="s">
        <v>172</v>
      </c>
      <c r="AK1461" s="1"/>
      <c r="AL1461" s="1" t="s">
        <v>79</v>
      </c>
      <c r="AM1461" s="1" t="s">
        <v>65</v>
      </c>
      <c r="AN1461" s="1" t="s">
        <v>2164</v>
      </c>
      <c r="AO1461" s="2">
        <v>43921.0</v>
      </c>
      <c r="AP1461" s="2">
        <v>43921.7180787037</v>
      </c>
      <c r="AQ1461" s="1" t="s">
        <v>80</v>
      </c>
      <c r="AR1461" s="1" t="s">
        <v>650</v>
      </c>
      <c r="AS1461" s="1" t="s">
        <v>4933</v>
      </c>
      <c r="AT1461" s="2">
        <v>44269.931099537</v>
      </c>
    </row>
    <row r="1462" ht="13.5" customHeight="1">
      <c r="A1462" s="1"/>
      <c r="B1462" s="1" t="s">
        <v>46</v>
      </c>
      <c r="C1462" s="1" t="s">
        <v>47</v>
      </c>
      <c r="D1462" s="1"/>
      <c r="E1462" s="1" t="s">
        <v>6134</v>
      </c>
      <c r="F1462" s="1"/>
      <c r="G1462" s="1" t="s">
        <v>49</v>
      </c>
      <c r="H1462" s="1" t="s">
        <v>93</v>
      </c>
      <c r="I1462" s="1">
        <v>947500.0</v>
      </c>
      <c r="J1462" s="1"/>
      <c r="K1462" s="1"/>
      <c r="L1462" s="1"/>
      <c r="M1462" s="1" t="s">
        <v>6135</v>
      </c>
      <c r="N1462" s="1" t="s">
        <v>142</v>
      </c>
      <c r="O1462" s="1" t="s">
        <v>143</v>
      </c>
      <c r="P1462" s="2">
        <v>43777.499537037</v>
      </c>
      <c r="Q1462" s="1" t="s">
        <v>74</v>
      </c>
      <c r="R1462" s="3">
        <v>43777.0</v>
      </c>
      <c r="S1462" s="1"/>
      <c r="T1462" s="1">
        <v>5105580.0</v>
      </c>
      <c r="U1462" s="1" t="s">
        <v>5187</v>
      </c>
      <c r="V1462" s="1" t="s">
        <v>164</v>
      </c>
      <c r="W1462" s="1" t="s">
        <v>177</v>
      </c>
      <c r="X1462" s="1"/>
      <c r="Y1462" s="1"/>
      <c r="Z1462" s="1" t="s">
        <v>147</v>
      </c>
      <c r="AA1462" s="1" t="s">
        <v>6125</v>
      </c>
      <c r="AB1462" s="1" t="str">
        <f>"***085199**"</f>
        <v>***085199**</v>
      </c>
      <c r="AC1462" s="1"/>
      <c r="AD1462" s="1" t="s">
        <v>116</v>
      </c>
      <c r="AE1462" s="1"/>
      <c r="AF1462" s="1">
        <v>-54.146667</v>
      </c>
      <c r="AG1462" s="1">
        <v>-11.025556</v>
      </c>
      <c r="AH1462" s="1" t="s">
        <v>6136</v>
      </c>
      <c r="AI1462" s="1"/>
      <c r="AJ1462" s="1" t="s">
        <v>167</v>
      </c>
      <c r="AK1462" s="1"/>
      <c r="AL1462" s="1"/>
      <c r="AM1462" s="1" t="s">
        <v>65</v>
      </c>
      <c r="AN1462" s="1" t="s">
        <v>337</v>
      </c>
      <c r="AO1462" s="1"/>
      <c r="AP1462" s="2">
        <v>44022.6393402778</v>
      </c>
      <c r="AQ1462" s="1"/>
      <c r="AR1462" s="1" t="s">
        <v>6137</v>
      </c>
      <c r="AS1462" s="1"/>
      <c r="AT1462" s="2">
        <v>44269.931099537</v>
      </c>
    </row>
    <row r="1463" ht="13.5" customHeight="1">
      <c r="A1463" s="1">
        <v>2036526.0</v>
      </c>
      <c r="B1463" s="1" t="s">
        <v>67</v>
      </c>
      <c r="C1463" s="1" t="s">
        <v>68</v>
      </c>
      <c r="D1463" s="1" t="s">
        <v>46</v>
      </c>
      <c r="E1463" s="1" t="s">
        <v>6138</v>
      </c>
      <c r="F1463" s="1"/>
      <c r="G1463" s="1" t="s">
        <v>70</v>
      </c>
      <c r="H1463" s="1" t="s">
        <v>50</v>
      </c>
      <c r="I1463" s="1">
        <v>500.0</v>
      </c>
      <c r="J1463" s="1"/>
      <c r="K1463" s="1"/>
      <c r="L1463" s="1" t="s">
        <v>537</v>
      </c>
      <c r="M1463" s="1" t="s">
        <v>6139</v>
      </c>
      <c r="N1463" s="1" t="s">
        <v>95</v>
      </c>
      <c r="O1463" s="1" t="s">
        <v>96</v>
      </c>
      <c r="P1463" s="2">
        <v>43777.4583333333</v>
      </c>
      <c r="Q1463" s="1" t="s">
        <v>74</v>
      </c>
      <c r="R1463" s="1"/>
      <c r="S1463" s="1"/>
      <c r="T1463" s="1">
        <v>2109007.0</v>
      </c>
      <c r="U1463" s="1" t="s">
        <v>6140</v>
      </c>
      <c r="V1463" s="1" t="s">
        <v>540</v>
      </c>
      <c r="W1463" s="1" t="s">
        <v>177</v>
      </c>
      <c r="X1463" s="1"/>
      <c r="Y1463" s="1"/>
      <c r="Z1463" s="1" t="s">
        <v>98</v>
      </c>
      <c r="AA1463" s="1" t="s">
        <v>6141</v>
      </c>
      <c r="AB1463" s="1" t="str">
        <f>"***533083**"</f>
        <v>***533083**</v>
      </c>
      <c r="AC1463" s="1"/>
      <c r="AD1463" s="1"/>
      <c r="AE1463" s="1"/>
      <c r="AF1463" s="1">
        <v>-47.394726</v>
      </c>
      <c r="AG1463" s="1">
        <v>-6.341389</v>
      </c>
      <c r="AH1463" s="1" t="s">
        <v>6142</v>
      </c>
      <c r="AI1463" s="1"/>
      <c r="AJ1463" s="1" t="s">
        <v>537</v>
      </c>
      <c r="AK1463" s="1"/>
      <c r="AL1463" s="1" t="s">
        <v>79</v>
      </c>
      <c r="AM1463" s="1" t="s">
        <v>65</v>
      </c>
      <c r="AN1463" s="1" t="s">
        <v>4203</v>
      </c>
      <c r="AO1463" s="2">
        <v>43959.0</v>
      </c>
      <c r="AP1463" s="2">
        <v>43959.5504166667</v>
      </c>
      <c r="AQ1463" s="1" t="s">
        <v>80</v>
      </c>
      <c r="AR1463" s="1" t="s">
        <v>475</v>
      </c>
      <c r="AS1463" s="1"/>
      <c r="AT1463" s="2">
        <v>44269.931099537</v>
      </c>
    </row>
    <row r="1464" ht="13.5" customHeight="1">
      <c r="A1464" s="1">
        <v>2040356.0</v>
      </c>
      <c r="B1464" s="1" t="s">
        <v>67</v>
      </c>
      <c r="C1464" s="1" t="s">
        <v>68</v>
      </c>
      <c r="D1464" s="1" t="s">
        <v>46</v>
      </c>
      <c r="E1464" s="1" t="s">
        <v>6143</v>
      </c>
      <c r="F1464" s="1"/>
      <c r="G1464" s="1" t="s">
        <v>70</v>
      </c>
      <c r="H1464" s="1" t="s">
        <v>93</v>
      </c>
      <c r="I1464" s="1">
        <v>63000.0</v>
      </c>
      <c r="J1464" s="1"/>
      <c r="K1464" s="1"/>
      <c r="L1464" s="1" t="s">
        <v>358</v>
      </c>
      <c r="M1464" s="1" t="s">
        <v>6144</v>
      </c>
      <c r="N1464" s="1" t="s">
        <v>142</v>
      </c>
      <c r="O1464" s="1" t="s">
        <v>143</v>
      </c>
      <c r="P1464" s="2">
        <v>43777.4166666667</v>
      </c>
      <c r="Q1464" s="1" t="s">
        <v>74</v>
      </c>
      <c r="R1464" s="3">
        <v>43828.0</v>
      </c>
      <c r="S1464" s="1"/>
      <c r="T1464" s="1">
        <v>4115408.0</v>
      </c>
      <c r="U1464" s="1" t="s">
        <v>6145</v>
      </c>
      <c r="V1464" s="1" t="s">
        <v>176</v>
      </c>
      <c r="W1464" s="1" t="s">
        <v>59</v>
      </c>
      <c r="X1464" s="1"/>
      <c r="Y1464" s="1"/>
      <c r="Z1464" s="1" t="s">
        <v>147</v>
      </c>
      <c r="AA1464" s="1" t="s">
        <v>6146</v>
      </c>
      <c r="AB1464" s="1" t="str">
        <f>"***859010**"</f>
        <v>***859010**</v>
      </c>
      <c r="AC1464" s="1"/>
      <c r="AD1464" s="1"/>
      <c r="AE1464" s="1"/>
      <c r="AF1464" s="1">
        <v>-53.259724</v>
      </c>
      <c r="AG1464" s="1">
        <v>-26.499723</v>
      </c>
      <c r="AH1464" s="1" t="s">
        <v>6147</v>
      </c>
      <c r="AI1464" s="1"/>
      <c r="AJ1464" s="1" t="s">
        <v>358</v>
      </c>
      <c r="AK1464" s="1"/>
      <c r="AL1464" s="1" t="s">
        <v>79</v>
      </c>
      <c r="AM1464" s="1" t="s">
        <v>65</v>
      </c>
      <c r="AN1464" s="1" t="s">
        <v>359</v>
      </c>
      <c r="AO1464" s="2">
        <v>44123.0</v>
      </c>
      <c r="AP1464" s="2">
        <v>44123.4025462963</v>
      </c>
      <c r="AQ1464" s="1" t="s">
        <v>80</v>
      </c>
      <c r="AR1464" s="1" t="s">
        <v>5801</v>
      </c>
      <c r="AS1464" s="1"/>
      <c r="AT1464" s="2">
        <v>44269.931099537</v>
      </c>
    </row>
    <row r="1465" ht="13.5" customHeight="1">
      <c r="A1465" s="1"/>
      <c r="B1465" s="1" t="s">
        <v>46</v>
      </c>
      <c r="C1465" s="1" t="s">
        <v>47</v>
      </c>
      <c r="D1465" s="1"/>
      <c r="E1465" s="1" t="s">
        <v>6148</v>
      </c>
      <c r="F1465" s="1"/>
      <c r="G1465" s="1" t="s">
        <v>49</v>
      </c>
      <c r="H1465" s="1" t="s">
        <v>93</v>
      </c>
      <c r="I1465" s="1">
        <v>500.0</v>
      </c>
      <c r="J1465" s="1"/>
      <c r="K1465" s="1" t="s">
        <v>51</v>
      </c>
      <c r="L1465" s="1"/>
      <c r="M1465" s="1" t="s">
        <v>6149</v>
      </c>
      <c r="N1465" s="1" t="s">
        <v>212</v>
      </c>
      <c r="O1465" s="1" t="s">
        <v>213</v>
      </c>
      <c r="P1465" s="2">
        <v>43777.1063541667</v>
      </c>
      <c r="Q1465" s="1" t="s">
        <v>373</v>
      </c>
      <c r="R1465" s="1"/>
      <c r="S1465" s="1"/>
      <c r="T1465" s="1">
        <v>2615607.0</v>
      </c>
      <c r="U1465" s="1" t="s">
        <v>5422</v>
      </c>
      <c r="V1465" s="1" t="s">
        <v>1037</v>
      </c>
      <c r="W1465" s="1" t="s">
        <v>113</v>
      </c>
      <c r="X1465" s="1"/>
      <c r="Y1465" s="1"/>
      <c r="Z1465" s="1" t="s">
        <v>215</v>
      </c>
      <c r="AA1465" s="1" t="s">
        <v>6150</v>
      </c>
      <c r="AB1465" s="1" t="str">
        <f>"***760554**"</f>
        <v>***760554**</v>
      </c>
      <c r="AC1465" s="1"/>
      <c r="AD1465" s="1" t="s">
        <v>62</v>
      </c>
      <c r="AE1465" s="1"/>
      <c r="AF1465" s="1">
        <v>-40.252499</v>
      </c>
      <c r="AG1465" s="1">
        <v>-7.720833</v>
      </c>
      <c r="AH1465" s="1" t="s">
        <v>6151</v>
      </c>
      <c r="AI1465" s="1"/>
      <c r="AJ1465" s="1" t="s">
        <v>1040</v>
      </c>
      <c r="AK1465" s="1"/>
      <c r="AL1465" s="1"/>
      <c r="AM1465" s="1" t="s">
        <v>65</v>
      </c>
      <c r="AN1465" s="1" t="s">
        <v>1279</v>
      </c>
      <c r="AO1465" s="1"/>
      <c r="AP1465" s="2">
        <v>43777.1169444445</v>
      </c>
      <c r="AQ1465" s="1"/>
      <c r="AR1465" s="1" t="s">
        <v>1280</v>
      </c>
      <c r="AS1465" s="1"/>
      <c r="AT1465" s="2">
        <v>44269.931099537</v>
      </c>
    </row>
    <row r="1466" ht="13.5" customHeight="1">
      <c r="A1466" s="1">
        <v>2042696.0</v>
      </c>
      <c r="B1466" s="1" t="s">
        <v>67</v>
      </c>
      <c r="C1466" s="1" t="s">
        <v>68</v>
      </c>
      <c r="D1466" s="1" t="s">
        <v>46</v>
      </c>
      <c r="E1466" s="1" t="s">
        <v>6152</v>
      </c>
      <c r="F1466" s="1"/>
      <c r="G1466" s="1" t="s">
        <v>70</v>
      </c>
      <c r="H1466" s="1" t="s">
        <v>93</v>
      </c>
      <c r="I1466" s="1">
        <v>500.0</v>
      </c>
      <c r="J1466" s="1"/>
      <c r="K1466" s="1"/>
      <c r="L1466" s="1" t="s">
        <v>1040</v>
      </c>
      <c r="M1466" s="1" t="s">
        <v>6153</v>
      </c>
      <c r="N1466" s="1" t="s">
        <v>72</v>
      </c>
      <c r="O1466" s="1" t="s">
        <v>213</v>
      </c>
      <c r="P1466" s="2">
        <v>43776.875</v>
      </c>
      <c r="Q1466" s="1" t="s">
        <v>55</v>
      </c>
      <c r="R1466" s="1"/>
      <c r="S1466" s="1"/>
      <c r="T1466" s="1">
        <v>2615607.0</v>
      </c>
      <c r="U1466" s="1" t="s">
        <v>5422</v>
      </c>
      <c r="V1466" s="1" t="s">
        <v>1037</v>
      </c>
      <c r="W1466" s="1" t="s">
        <v>113</v>
      </c>
      <c r="X1466" s="1"/>
      <c r="Y1466" s="1" t="str">
        <f>"02019003736201984"</f>
        <v>02019003736201984</v>
      </c>
      <c r="Z1466" s="1" t="s">
        <v>215</v>
      </c>
      <c r="AA1466" s="1" t="s">
        <v>6154</v>
      </c>
      <c r="AB1466" s="1" t="str">
        <f t="shared" ref="AB1466:AB1467" si="84">"29661815000101"</f>
        <v>29661815000101</v>
      </c>
      <c r="AC1466" s="1"/>
      <c r="AD1466" s="1"/>
      <c r="AE1466" s="1"/>
      <c r="AF1466" s="1">
        <v>-40.274166</v>
      </c>
      <c r="AG1466" s="1">
        <v>-7.795556</v>
      </c>
      <c r="AH1466" s="1" t="s">
        <v>6155</v>
      </c>
      <c r="AI1466" s="1"/>
      <c r="AJ1466" s="1" t="s">
        <v>1040</v>
      </c>
      <c r="AK1466" s="1"/>
      <c r="AL1466" s="1" t="s">
        <v>79</v>
      </c>
      <c r="AM1466" s="1" t="s">
        <v>65</v>
      </c>
      <c r="AN1466" s="1" t="s">
        <v>1279</v>
      </c>
      <c r="AO1466" s="2">
        <v>44215.0</v>
      </c>
      <c r="AP1466" s="2">
        <v>44215.7418171296</v>
      </c>
      <c r="AQ1466" s="1" t="s">
        <v>80</v>
      </c>
      <c r="AR1466" s="1" t="s">
        <v>909</v>
      </c>
      <c r="AS1466" s="1"/>
      <c r="AT1466" s="2">
        <v>44269.931099537</v>
      </c>
    </row>
    <row r="1467" ht="13.5" customHeight="1">
      <c r="A1467" s="1">
        <v>2042705.0</v>
      </c>
      <c r="B1467" s="1" t="s">
        <v>67</v>
      </c>
      <c r="C1467" s="1" t="s">
        <v>68</v>
      </c>
      <c r="D1467" s="1" t="s">
        <v>46</v>
      </c>
      <c r="E1467" s="1" t="s">
        <v>6156</v>
      </c>
      <c r="F1467" s="1"/>
      <c r="G1467" s="1" t="s">
        <v>70</v>
      </c>
      <c r="H1467" s="1" t="s">
        <v>93</v>
      </c>
      <c r="I1467" s="1">
        <v>4500.0</v>
      </c>
      <c r="J1467" s="1"/>
      <c r="K1467" s="1"/>
      <c r="L1467" s="1" t="s">
        <v>1040</v>
      </c>
      <c r="M1467" s="1" t="s">
        <v>6157</v>
      </c>
      <c r="N1467" s="1" t="s">
        <v>142</v>
      </c>
      <c r="O1467" s="1" t="s">
        <v>143</v>
      </c>
      <c r="P1467" s="2">
        <v>43776.8333333333</v>
      </c>
      <c r="Q1467" s="1" t="s">
        <v>55</v>
      </c>
      <c r="R1467" s="1"/>
      <c r="S1467" s="1"/>
      <c r="T1467" s="1">
        <v>2615607.0</v>
      </c>
      <c r="U1467" s="1" t="s">
        <v>5422</v>
      </c>
      <c r="V1467" s="1" t="s">
        <v>1037</v>
      </c>
      <c r="W1467" s="1" t="s">
        <v>113</v>
      </c>
      <c r="X1467" s="1"/>
      <c r="Y1467" s="1" t="str">
        <f>"02019003779201960"</f>
        <v>02019003779201960</v>
      </c>
      <c r="Z1467" s="1" t="s">
        <v>147</v>
      </c>
      <c r="AA1467" s="1" t="s">
        <v>6154</v>
      </c>
      <c r="AB1467" s="1" t="str">
        <f t="shared" si="84"/>
        <v>29661815000101</v>
      </c>
      <c r="AC1467" s="1"/>
      <c r="AD1467" s="1"/>
      <c r="AE1467" s="1"/>
      <c r="AF1467" s="1">
        <v>-40.274166</v>
      </c>
      <c r="AG1467" s="1">
        <v>-7.795556</v>
      </c>
      <c r="AH1467" s="1" t="s">
        <v>6158</v>
      </c>
      <c r="AI1467" s="1"/>
      <c r="AJ1467" s="1" t="s">
        <v>1040</v>
      </c>
      <c r="AK1467" s="1"/>
      <c r="AL1467" s="1" t="s">
        <v>79</v>
      </c>
      <c r="AM1467" s="1" t="s">
        <v>65</v>
      </c>
      <c r="AN1467" s="1" t="s">
        <v>1279</v>
      </c>
      <c r="AO1467" s="2">
        <v>44215.0</v>
      </c>
      <c r="AP1467" s="2">
        <v>44215.7782060185</v>
      </c>
      <c r="AQ1467" s="1" t="s">
        <v>80</v>
      </c>
      <c r="AR1467" s="1" t="s">
        <v>181</v>
      </c>
      <c r="AS1467" s="1" t="s">
        <v>6159</v>
      </c>
      <c r="AT1467" s="2">
        <v>44269.931099537</v>
      </c>
    </row>
    <row r="1468" ht="13.5" customHeight="1">
      <c r="A1468" s="1"/>
      <c r="B1468" s="1" t="s">
        <v>46</v>
      </c>
      <c r="C1468" s="1" t="s">
        <v>47</v>
      </c>
      <c r="D1468" s="1"/>
      <c r="E1468" s="1" t="s">
        <v>6160</v>
      </c>
      <c r="F1468" s="1"/>
      <c r="G1468" s="1" t="s">
        <v>49</v>
      </c>
      <c r="H1468" s="1" t="s">
        <v>93</v>
      </c>
      <c r="I1468" s="1">
        <v>40000.0</v>
      </c>
      <c r="J1468" s="1"/>
      <c r="K1468" s="1"/>
      <c r="L1468" s="1"/>
      <c r="M1468" s="1" t="s">
        <v>6161</v>
      </c>
      <c r="N1468" s="1" t="s">
        <v>142</v>
      </c>
      <c r="O1468" s="1" t="s">
        <v>143</v>
      </c>
      <c r="P1468" s="2">
        <v>43776.7979282407</v>
      </c>
      <c r="Q1468" s="1" t="s">
        <v>373</v>
      </c>
      <c r="R1468" s="1"/>
      <c r="S1468" s="1"/>
      <c r="T1468" s="1">
        <v>1200302.0</v>
      </c>
      <c r="U1468" s="1" t="s">
        <v>3319</v>
      </c>
      <c r="V1468" s="1" t="s">
        <v>498</v>
      </c>
      <c r="W1468" s="1" t="s">
        <v>177</v>
      </c>
      <c r="X1468" s="1"/>
      <c r="Y1468" s="1"/>
      <c r="Z1468" s="1" t="s">
        <v>147</v>
      </c>
      <c r="AA1468" s="1" t="s">
        <v>6162</v>
      </c>
      <c r="AB1468" s="1" t="str">
        <f>"***731042**"</f>
        <v>***731042**</v>
      </c>
      <c r="AC1468" s="1">
        <v>8.0</v>
      </c>
      <c r="AD1468" s="1" t="s">
        <v>116</v>
      </c>
      <c r="AE1468" s="1"/>
      <c r="AF1468" s="1">
        <v>-70.099724</v>
      </c>
      <c r="AG1468" s="1">
        <v>-8.556389</v>
      </c>
      <c r="AH1468" s="1" t="s">
        <v>6163</v>
      </c>
      <c r="AI1468" s="1"/>
      <c r="AJ1468" s="1" t="s">
        <v>3322</v>
      </c>
      <c r="AK1468" s="1"/>
      <c r="AL1468" s="1"/>
      <c r="AM1468" s="1" t="s">
        <v>65</v>
      </c>
      <c r="AN1468" s="1" t="s">
        <v>3305</v>
      </c>
      <c r="AO1468" s="1"/>
      <c r="AP1468" s="2">
        <v>43957.4514467593</v>
      </c>
      <c r="AQ1468" s="1"/>
      <c r="AR1468" s="1" t="s">
        <v>3478</v>
      </c>
      <c r="AS1468" s="1"/>
      <c r="AT1468" s="2">
        <v>44269.931099537</v>
      </c>
    </row>
    <row r="1469" ht="13.5" customHeight="1">
      <c r="A1469" s="1">
        <v>2044008.0</v>
      </c>
      <c r="B1469" s="1" t="s">
        <v>67</v>
      </c>
      <c r="C1469" s="1" t="s">
        <v>68</v>
      </c>
      <c r="D1469" s="1" t="s">
        <v>46</v>
      </c>
      <c r="E1469" s="1" t="s">
        <v>6164</v>
      </c>
      <c r="F1469" s="1"/>
      <c r="G1469" s="1" t="s">
        <v>70</v>
      </c>
      <c r="H1469" s="1" t="s">
        <v>93</v>
      </c>
      <c r="I1469" s="1">
        <v>450000.0</v>
      </c>
      <c r="J1469" s="1"/>
      <c r="K1469" s="1"/>
      <c r="L1469" s="1" t="s">
        <v>172</v>
      </c>
      <c r="M1469" s="1" t="s">
        <v>6165</v>
      </c>
      <c r="N1469" s="1" t="s">
        <v>142</v>
      </c>
      <c r="O1469" s="1" t="s">
        <v>143</v>
      </c>
      <c r="P1469" s="2">
        <v>43776.7916666667</v>
      </c>
      <c r="Q1469" s="1" t="s">
        <v>373</v>
      </c>
      <c r="R1469" s="3">
        <v>43776.0</v>
      </c>
      <c r="S1469" s="1"/>
      <c r="T1469" s="1">
        <v>1500602.0</v>
      </c>
      <c r="U1469" s="1" t="s">
        <v>5135</v>
      </c>
      <c r="V1469" s="1" t="s">
        <v>193</v>
      </c>
      <c r="W1469" s="1" t="s">
        <v>177</v>
      </c>
      <c r="X1469" s="1"/>
      <c r="Y1469" s="1" t="str">
        <f>"02001000686202014"</f>
        <v>02001000686202014</v>
      </c>
      <c r="Z1469" s="1" t="s">
        <v>147</v>
      </c>
      <c r="AA1469" s="1" t="s">
        <v>6166</v>
      </c>
      <c r="AB1469" s="1" t="str">
        <f>"***750749**"</f>
        <v>***750749**</v>
      </c>
      <c r="AC1469" s="1"/>
      <c r="AD1469" s="1"/>
      <c r="AE1469" s="1"/>
      <c r="AF1469" s="1">
        <v>-55.029446</v>
      </c>
      <c r="AG1469" s="1">
        <v>-7.784722</v>
      </c>
      <c r="AH1469" s="1" t="s">
        <v>6167</v>
      </c>
      <c r="AI1469" s="1"/>
      <c r="AJ1469" s="1" t="s">
        <v>172</v>
      </c>
      <c r="AK1469" s="1"/>
      <c r="AL1469" s="1" t="s">
        <v>79</v>
      </c>
      <c r="AM1469" s="1" t="s">
        <v>65</v>
      </c>
      <c r="AN1469" s="1" t="s">
        <v>1395</v>
      </c>
      <c r="AO1469" s="2">
        <v>44259.0</v>
      </c>
      <c r="AP1469" s="2">
        <v>44259.3840162037</v>
      </c>
      <c r="AQ1469" s="1" t="s">
        <v>80</v>
      </c>
      <c r="AR1469" s="1" t="s">
        <v>6168</v>
      </c>
      <c r="AS1469" s="1"/>
      <c r="AT1469" s="2">
        <v>44269.931099537</v>
      </c>
    </row>
    <row r="1470" ht="13.5" customHeight="1">
      <c r="A1470" s="1"/>
      <c r="B1470" s="1" t="s">
        <v>46</v>
      </c>
      <c r="C1470" s="1" t="s">
        <v>47</v>
      </c>
      <c r="D1470" s="1"/>
      <c r="E1470" s="1" t="s">
        <v>6169</v>
      </c>
      <c r="F1470" s="1"/>
      <c r="G1470" s="1" t="s">
        <v>49</v>
      </c>
      <c r="H1470" s="1" t="s">
        <v>93</v>
      </c>
      <c r="I1470" s="1">
        <v>4500.0</v>
      </c>
      <c r="J1470" s="1"/>
      <c r="K1470" s="1"/>
      <c r="L1470" s="1"/>
      <c r="M1470" s="1" t="s">
        <v>6170</v>
      </c>
      <c r="N1470" s="1" t="s">
        <v>95</v>
      </c>
      <c r="O1470" s="1" t="s">
        <v>96</v>
      </c>
      <c r="P1470" s="2">
        <v>43776.773900463</v>
      </c>
      <c r="Q1470" s="1" t="s">
        <v>373</v>
      </c>
      <c r="R1470" s="1"/>
      <c r="S1470" s="1"/>
      <c r="T1470" s="1">
        <v>3203809.0</v>
      </c>
      <c r="U1470" s="1" t="s">
        <v>6171</v>
      </c>
      <c r="V1470" s="1" t="s">
        <v>403</v>
      </c>
      <c r="W1470" s="1" t="s">
        <v>59</v>
      </c>
      <c r="X1470" s="1"/>
      <c r="Y1470" s="1"/>
      <c r="Z1470" s="1" t="s">
        <v>98</v>
      </c>
      <c r="AA1470" s="1" t="s">
        <v>6172</v>
      </c>
      <c r="AB1470" s="1" t="str">
        <f>"***363917**"</f>
        <v>***363917**</v>
      </c>
      <c r="AC1470" s="1"/>
      <c r="AD1470" s="1" t="s">
        <v>62</v>
      </c>
      <c r="AE1470" s="1"/>
      <c r="AF1470" s="1">
        <v>-41.355278</v>
      </c>
      <c r="AG1470" s="1">
        <v>-20.953611</v>
      </c>
      <c r="AH1470" s="1" t="s">
        <v>6173</v>
      </c>
      <c r="AI1470" s="1"/>
      <c r="AJ1470" s="1" t="s">
        <v>406</v>
      </c>
      <c r="AK1470" s="1"/>
      <c r="AL1470" s="1"/>
      <c r="AM1470" s="1" t="s">
        <v>65</v>
      </c>
      <c r="AN1470" s="1" t="s">
        <v>1599</v>
      </c>
      <c r="AO1470" s="1"/>
      <c r="AP1470" s="2">
        <v>44021.6299305556</v>
      </c>
      <c r="AQ1470" s="1"/>
      <c r="AR1470" s="1" t="s">
        <v>5717</v>
      </c>
      <c r="AS1470" s="1"/>
      <c r="AT1470" s="2">
        <v>44269.931099537</v>
      </c>
    </row>
    <row r="1471" ht="13.5" customHeight="1">
      <c r="A1471" s="1"/>
      <c r="B1471" s="1" t="s">
        <v>46</v>
      </c>
      <c r="C1471" s="1" t="s">
        <v>47</v>
      </c>
      <c r="D1471" s="1"/>
      <c r="E1471" s="1" t="s">
        <v>6174</v>
      </c>
      <c r="F1471" s="1"/>
      <c r="G1471" s="1"/>
      <c r="H1471" s="1" t="s">
        <v>93</v>
      </c>
      <c r="I1471" s="1">
        <v>165000.0</v>
      </c>
      <c r="J1471" s="1"/>
      <c r="K1471" s="1"/>
      <c r="L1471" s="1"/>
      <c r="M1471" s="1" t="s">
        <v>6175</v>
      </c>
      <c r="N1471" s="1" t="s">
        <v>142</v>
      </c>
      <c r="O1471" s="1" t="s">
        <v>143</v>
      </c>
      <c r="P1471" s="2">
        <v>43776.7527430556</v>
      </c>
      <c r="Q1471" s="1" t="s">
        <v>373</v>
      </c>
      <c r="R1471" s="1"/>
      <c r="S1471" s="1"/>
      <c r="T1471" s="1">
        <v>1100338.0</v>
      </c>
      <c r="U1471" s="1" t="s">
        <v>5017</v>
      </c>
      <c r="V1471" s="1" t="s">
        <v>448</v>
      </c>
      <c r="W1471" s="1" t="s">
        <v>177</v>
      </c>
      <c r="X1471" s="1"/>
      <c r="Y1471" s="1"/>
      <c r="Z1471" s="1" t="s">
        <v>147</v>
      </c>
      <c r="AA1471" s="1" t="s">
        <v>6176</v>
      </c>
      <c r="AB1471" s="1" t="str">
        <f>"***298762**"</f>
        <v>***298762**</v>
      </c>
      <c r="AC1471" s="1"/>
      <c r="AD1471" s="1" t="s">
        <v>116</v>
      </c>
      <c r="AE1471" s="1"/>
      <c r="AF1471" s="1">
        <v>-65.254166</v>
      </c>
      <c r="AG1471" s="1">
        <v>-10.026111</v>
      </c>
      <c r="AH1471" s="1" t="s">
        <v>6177</v>
      </c>
      <c r="AI1471" s="1"/>
      <c r="AJ1471" s="1" t="s">
        <v>172</v>
      </c>
      <c r="AK1471" s="1"/>
      <c r="AL1471" s="1"/>
      <c r="AM1471" s="1" t="s">
        <v>65</v>
      </c>
      <c r="AN1471" s="1" t="s">
        <v>1395</v>
      </c>
      <c r="AO1471" s="1"/>
      <c r="AP1471" s="2">
        <v>43776.7606944444</v>
      </c>
      <c r="AQ1471" s="1"/>
      <c r="AR1471" s="1" t="s">
        <v>644</v>
      </c>
      <c r="AS1471" s="1"/>
      <c r="AT1471" s="2">
        <v>44269.931099537</v>
      </c>
    </row>
    <row r="1472" ht="13.5" customHeight="1">
      <c r="A1472" s="1"/>
      <c r="B1472" s="1" t="s">
        <v>46</v>
      </c>
      <c r="C1472" s="1" t="s">
        <v>47</v>
      </c>
      <c r="D1472" s="1"/>
      <c r="E1472" s="1" t="s">
        <v>6178</v>
      </c>
      <c r="F1472" s="1"/>
      <c r="G1472" s="1" t="s">
        <v>49</v>
      </c>
      <c r="H1472" s="1" t="s">
        <v>50</v>
      </c>
      <c r="I1472" s="1">
        <v>201500.0</v>
      </c>
      <c r="J1472" s="1"/>
      <c r="K1472" s="1" t="s">
        <v>140</v>
      </c>
      <c r="L1472" s="1"/>
      <c r="M1472" s="1" t="s">
        <v>6179</v>
      </c>
      <c r="N1472" s="1" t="s">
        <v>123</v>
      </c>
      <c r="O1472" s="1" t="s">
        <v>73</v>
      </c>
      <c r="P1472" s="2">
        <v>43776.7521064815</v>
      </c>
      <c r="Q1472" s="1" t="s">
        <v>74</v>
      </c>
      <c r="R1472" s="3">
        <v>43776.0</v>
      </c>
      <c r="S1472" s="1"/>
      <c r="T1472" s="1">
        <v>5105150.0</v>
      </c>
      <c r="U1472" s="1" t="s">
        <v>5635</v>
      </c>
      <c r="V1472" s="1" t="s">
        <v>164</v>
      </c>
      <c r="W1472" s="1" t="s">
        <v>177</v>
      </c>
      <c r="X1472" s="1"/>
      <c r="Y1472" s="1"/>
      <c r="Z1472" s="1" t="s">
        <v>76</v>
      </c>
      <c r="AA1472" s="1" t="s">
        <v>6180</v>
      </c>
      <c r="AB1472" s="1" t="str">
        <f>"08765557000125"</f>
        <v>08765557000125</v>
      </c>
      <c r="AC1472" s="1"/>
      <c r="AD1472" s="1" t="s">
        <v>62</v>
      </c>
      <c r="AE1472" s="1"/>
      <c r="AF1472" s="1">
        <v>-58.767498</v>
      </c>
      <c r="AG1472" s="1">
        <v>-11.436666</v>
      </c>
      <c r="AH1472" s="1" t="s">
        <v>6180</v>
      </c>
      <c r="AI1472" s="1"/>
      <c r="AJ1472" s="1" t="s">
        <v>167</v>
      </c>
      <c r="AK1472" s="1"/>
      <c r="AL1472" s="1"/>
      <c r="AM1472" s="1" t="s">
        <v>65</v>
      </c>
      <c r="AN1472" s="1" t="s">
        <v>337</v>
      </c>
      <c r="AO1472" s="1"/>
      <c r="AP1472" s="2">
        <v>44022.6393981482</v>
      </c>
      <c r="AQ1472" s="1"/>
      <c r="AR1472" s="1" t="s">
        <v>396</v>
      </c>
      <c r="AS1472" s="1"/>
      <c r="AT1472" s="2">
        <v>44269.931099537</v>
      </c>
    </row>
    <row r="1473" ht="13.5" customHeight="1">
      <c r="A1473" s="1">
        <v>2035874.0</v>
      </c>
      <c r="B1473" s="1" t="s">
        <v>67</v>
      </c>
      <c r="C1473" s="1" t="s">
        <v>68</v>
      </c>
      <c r="D1473" s="1" t="s">
        <v>46</v>
      </c>
      <c r="E1473" s="1" t="s">
        <v>6181</v>
      </c>
      <c r="F1473" s="1"/>
      <c r="G1473" s="1" t="s">
        <v>70</v>
      </c>
      <c r="H1473" s="1" t="s">
        <v>93</v>
      </c>
      <c r="I1473" s="1">
        <v>410000.0</v>
      </c>
      <c r="J1473" s="1"/>
      <c r="K1473" s="1"/>
      <c r="L1473" s="1" t="s">
        <v>172</v>
      </c>
      <c r="M1473" s="1" t="s">
        <v>6182</v>
      </c>
      <c r="N1473" s="1" t="s">
        <v>142</v>
      </c>
      <c r="O1473" s="1" t="s">
        <v>143</v>
      </c>
      <c r="P1473" s="2">
        <v>43776.75</v>
      </c>
      <c r="Q1473" s="1" t="s">
        <v>74</v>
      </c>
      <c r="R1473" s="3">
        <v>43776.0</v>
      </c>
      <c r="S1473" s="1"/>
      <c r="T1473" s="1">
        <v>1302405.0</v>
      </c>
      <c r="U1473" s="1" t="s">
        <v>2258</v>
      </c>
      <c r="V1473" s="1" t="s">
        <v>486</v>
      </c>
      <c r="W1473" s="1" t="s">
        <v>177</v>
      </c>
      <c r="X1473" s="1"/>
      <c r="Y1473" s="1" t="str">
        <f>"02001009103202011"</f>
        <v>02001009103202011</v>
      </c>
      <c r="Z1473" s="1" t="s">
        <v>147</v>
      </c>
      <c r="AA1473" s="1" t="s">
        <v>6183</v>
      </c>
      <c r="AB1473" s="1" t="str">
        <f>"***106922**"</f>
        <v>***106922**</v>
      </c>
      <c r="AC1473" s="1"/>
      <c r="AD1473" s="1"/>
      <c r="AE1473" s="1"/>
      <c r="AF1473" s="1">
        <v>-65.600273</v>
      </c>
      <c r="AG1473" s="1">
        <v>-9.429166</v>
      </c>
      <c r="AH1473" s="1" t="s">
        <v>6184</v>
      </c>
      <c r="AI1473" s="1"/>
      <c r="AJ1473" s="1" t="s">
        <v>172</v>
      </c>
      <c r="AK1473" s="1"/>
      <c r="AL1473" s="1" t="s">
        <v>79</v>
      </c>
      <c r="AM1473" s="1" t="s">
        <v>65</v>
      </c>
      <c r="AN1473" s="1" t="s">
        <v>2164</v>
      </c>
      <c r="AO1473" s="2">
        <v>43921.0</v>
      </c>
      <c r="AP1473" s="2">
        <v>43921.6421064815</v>
      </c>
      <c r="AQ1473" s="1" t="s">
        <v>80</v>
      </c>
      <c r="AR1473" s="1" t="s">
        <v>451</v>
      </c>
      <c r="AS1473" s="1"/>
      <c r="AT1473" s="2">
        <v>44269.931099537</v>
      </c>
    </row>
    <row r="1474" ht="13.5" customHeight="1">
      <c r="A1474" s="1">
        <v>2035877.0</v>
      </c>
      <c r="B1474" s="1" t="s">
        <v>67</v>
      </c>
      <c r="C1474" s="1" t="s">
        <v>68</v>
      </c>
      <c r="D1474" s="1" t="s">
        <v>46</v>
      </c>
      <c r="E1474" s="1" t="s">
        <v>6185</v>
      </c>
      <c r="F1474" s="1"/>
      <c r="G1474" s="1" t="s">
        <v>70</v>
      </c>
      <c r="H1474" s="1" t="s">
        <v>93</v>
      </c>
      <c r="I1474" s="1">
        <v>395000.0</v>
      </c>
      <c r="J1474" s="1"/>
      <c r="K1474" s="1"/>
      <c r="L1474" s="1" t="s">
        <v>172</v>
      </c>
      <c r="M1474" s="1" t="s">
        <v>6186</v>
      </c>
      <c r="N1474" s="1" t="s">
        <v>142</v>
      </c>
      <c r="O1474" s="1" t="s">
        <v>143</v>
      </c>
      <c r="P1474" s="2">
        <v>43776.75</v>
      </c>
      <c r="Q1474" s="1" t="s">
        <v>74</v>
      </c>
      <c r="R1474" s="3">
        <v>43776.0</v>
      </c>
      <c r="S1474" s="1"/>
      <c r="T1474" s="1">
        <v>5103858.0</v>
      </c>
      <c r="U1474" s="1" t="s">
        <v>6187</v>
      </c>
      <c r="V1474" s="1" t="s">
        <v>164</v>
      </c>
      <c r="W1474" s="1" t="s">
        <v>177</v>
      </c>
      <c r="X1474" s="1"/>
      <c r="Y1474" s="1" t="str">
        <f>"02001009128202014"</f>
        <v>02001009128202014</v>
      </c>
      <c r="Z1474" s="1" t="s">
        <v>147</v>
      </c>
      <c r="AA1474" s="1" t="s">
        <v>6188</v>
      </c>
      <c r="AB1474" s="1" t="str">
        <f>"***639369**"</f>
        <v>***639369**</v>
      </c>
      <c r="AC1474" s="1"/>
      <c r="AD1474" s="1"/>
      <c r="AE1474" s="1"/>
      <c r="AF1474" s="1">
        <v>-53.703335</v>
      </c>
      <c r="AG1474" s="1">
        <v>-13.131945</v>
      </c>
      <c r="AH1474" s="1" t="s">
        <v>6189</v>
      </c>
      <c r="AI1474" s="1"/>
      <c r="AJ1474" s="1" t="s">
        <v>172</v>
      </c>
      <c r="AK1474" s="1"/>
      <c r="AL1474" s="1" t="s">
        <v>79</v>
      </c>
      <c r="AM1474" s="1" t="s">
        <v>65</v>
      </c>
      <c r="AN1474" s="1" t="s">
        <v>2164</v>
      </c>
      <c r="AO1474" s="2">
        <v>43921.0</v>
      </c>
      <c r="AP1474" s="2">
        <v>43921.6806944445</v>
      </c>
      <c r="AQ1474" s="1" t="s">
        <v>80</v>
      </c>
      <c r="AR1474" s="1" t="s">
        <v>451</v>
      </c>
      <c r="AS1474" s="1"/>
      <c r="AT1474" s="2">
        <v>44269.931099537</v>
      </c>
    </row>
    <row r="1475" ht="13.5" customHeight="1">
      <c r="A1475" s="1">
        <v>2037674.0</v>
      </c>
      <c r="B1475" s="1" t="s">
        <v>67</v>
      </c>
      <c r="C1475" s="1" t="s">
        <v>68</v>
      </c>
      <c r="D1475" s="1" t="s">
        <v>46</v>
      </c>
      <c r="E1475" s="1" t="s">
        <v>6190</v>
      </c>
      <c r="F1475" s="1"/>
      <c r="G1475" s="1" t="s">
        <v>70</v>
      </c>
      <c r="H1475" s="1" t="s">
        <v>93</v>
      </c>
      <c r="I1475" s="1">
        <v>4500.0</v>
      </c>
      <c r="J1475" s="1"/>
      <c r="K1475" s="1"/>
      <c r="L1475" s="1" t="s">
        <v>406</v>
      </c>
      <c r="M1475" s="1" t="s">
        <v>6191</v>
      </c>
      <c r="N1475" s="1" t="s">
        <v>95</v>
      </c>
      <c r="O1475" s="1" t="s">
        <v>96</v>
      </c>
      <c r="P1475" s="2">
        <v>43776.7083333333</v>
      </c>
      <c r="Q1475" s="1" t="s">
        <v>373</v>
      </c>
      <c r="R1475" s="3">
        <v>43776.0</v>
      </c>
      <c r="S1475" s="1"/>
      <c r="T1475" s="1">
        <v>3203809.0</v>
      </c>
      <c r="U1475" s="1" t="s">
        <v>6171</v>
      </c>
      <c r="V1475" s="1" t="s">
        <v>403</v>
      </c>
      <c r="W1475" s="1" t="s">
        <v>59</v>
      </c>
      <c r="X1475" s="1"/>
      <c r="Y1475" s="1" t="str">
        <f>"02009001350202091"</f>
        <v>02009001350202091</v>
      </c>
      <c r="Z1475" s="1" t="s">
        <v>98</v>
      </c>
      <c r="AA1475" s="1" t="s">
        <v>6192</v>
      </c>
      <c r="AB1475" s="1" t="str">
        <f>"***363917**"</f>
        <v>***363917**</v>
      </c>
      <c r="AC1475" s="1"/>
      <c r="AD1475" s="1"/>
      <c r="AE1475" s="1"/>
      <c r="AF1475" s="1">
        <v>-41.355278</v>
      </c>
      <c r="AG1475" s="1">
        <v>-20.953611</v>
      </c>
      <c r="AH1475" s="1" t="s">
        <v>6193</v>
      </c>
      <c r="AI1475" s="1"/>
      <c r="AJ1475" s="1" t="s">
        <v>406</v>
      </c>
      <c r="AK1475" s="1"/>
      <c r="AL1475" s="1" t="s">
        <v>79</v>
      </c>
      <c r="AM1475" s="1" t="s">
        <v>65</v>
      </c>
      <c r="AN1475" s="1" t="s">
        <v>1599</v>
      </c>
      <c r="AO1475" s="2">
        <v>44006.0</v>
      </c>
      <c r="AP1475" s="2">
        <v>44006.3998958333</v>
      </c>
      <c r="AQ1475" s="1" t="s">
        <v>80</v>
      </c>
      <c r="AR1475" s="1" t="s">
        <v>4091</v>
      </c>
      <c r="AS1475" s="1"/>
      <c r="AT1475" s="2">
        <v>44269.931099537</v>
      </c>
    </row>
    <row r="1476" ht="13.5" customHeight="1">
      <c r="A1476" s="1">
        <v>2034484.0</v>
      </c>
      <c r="B1476" s="1" t="s">
        <v>67</v>
      </c>
      <c r="C1476" s="1" t="s">
        <v>68</v>
      </c>
      <c r="D1476" s="1" t="s">
        <v>46</v>
      </c>
      <c r="E1476" s="1" t="s">
        <v>6194</v>
      </c>
      <c r="F1476" s="1"/>
      <c r="G1476" s="1" t="s">
        <v>70</v>
      </c>
      <c r="H1476" s="1" t="s">
        <v>93</v>
      </c>
      <c r="I1476" s="1">
        <v>150.0</v>
      </c>
      <c r="J1476" s="1"/>
      <c r="K1476" s="1"/>
      <c r="L1476" s="1" t="s">
        <v>106</v>
      </c>
      <c r="M1476" s="1" t="s">
        <v>6195</v>
      </c>
      <c r="N1476" s="1" t="s">
        <v>108</v>
      </c>
      <c r="O1476" s="1"/>
      <c r="P1476" s="2">
        <v>43776.7020833333</v>
      </c>
      <c r="Q1476" s="1" t="s">
        <v>74</v>
      </c>
      <c r="R1476" s="1"/>
      <c r="S1476" s="1"/>
      <c r="T1476" s="1">
        <v>2302107.0</v>
      </c>
      <c r="U1476" s="1" t="s">
        <v>6196</v>
      </c>
      <c r="V1476" s="1" t="s">
        <v>112</v>
      </c>
      <c r="W1476" s="1" t="s">
        <v>113</v>
      </c>
      <c r="X1476" s="1"/>
      <c r="Y1476" s="1" t="str">
        <f>"02007003877201936"</f>
        <v>02007003877201936</v>
      </c>
      <c r="Z1476" s="1" t="s">
        <v>6197</v>
      </c>
      <c r="AA1476" s="1" t="s">
        <v>6198</v>
      </c>
      <c r="AB1476" s="1" t="str">
        <f>"01111417000194"</f>
        <v>01111417000194</v>
      </c>
      <c r="AC1476" s="1"/>
      <c r="AD1476" s="1" t="s">
        <v>116</v>
      </c>
      <c r="AE1476" s="1"/>
      <c r="AF1476" s="1">
        <v>0.0</v>
      </c>
      <c r="AG1476" s="1">
        <v>0.0</v>
      </c>
      <c r="AH1476" s="1" t="s">
        <v>6199</v>
      </c>
      <c r="AI1476" s="1"/>
      <c r="AJ1476" s="1"/>
      <c r="AK1476" s="1"/>
      <c r="AL1476" s="1" t="s">
        <v>118</v>
      </c>
      <c r="AM1476" s="1"/>
      <c r="AN1476" s="1"/>
      <c r="AO1476" s="2">
        <v>43875.4878935185</v>
      </c>
      <c r="AP1476" s="2">
        <v>43875.4878935185</v>
      </c>
      <c r="AQ1476" s="1" t="s">
        <v>80</v>
      </c>
      <c r="AR1476" s="1" t="s">
        <v>6200</v>
      </c>
      <c r="AS1476" s="1"/>
      <c r="AT1476" s="2">
        <v>44269.931099537</v>
      </c>
    </row>
    <row r="1477" ht="13.5" customHeight="1">
      <c r="A1477" s="1">
        <v>2034502.0</v>
      </c>
      <c r="B1477" s="1" t="s">
        <v>67</v>
      </c>
      <c r="C1477" s="1" t="s">
        <v>68</v>
      </c>
      <c r="D1477" s="1" t="s">
        <v>46</v>
      </c>
      <c r="E1477" s="1" t="s">
        <v>6201</v>
      </c>
      <c r="F1477" s="1"/>
      <c r="G1477" s="1" t="s">
        <v>70</v>
      </c>
      <c r="H1477" s="1" t="s">
        <v>93</v>
      </c>
      <c r="I1477" s="1">
        <v>2000.0</v>
      </c>
      <c r="J1477" s="1"/>
      <c r="K1477" s="1"/>
      <c r="L1477" s="1" t="s">
        <v>106</v>
      </c>
      <c r="M1477" s="1" t="s">
        <v>6202</v>
      </c>
      <c r="N1477" s="1" t="s">
        <v>108</v>
      </c>
      <c r="O1477" s="1" t="s">
        <v>109</v>
      </c>
      <c r="P1477" s="2">
        <v>43776.6763888889</v>
      </c>
      <c r="Q1477" s="1" t="s">
        <v>74</v>
      </c>
      <c r="R1477" s="1"/>
      <c r="S1477" s="1"/>
      <c r="T1477" s="1">
        <v>2304400.0</v>
      </c>
      <c r="U1477" s="1" t="s">
        <v>111</v>
      </c>
      <c r="V1477" s="1" t="s">
        <v>112</v>
      </c>
      <c r="W1477" s="1" t="s">
        <v>113</v>
      </c>
      <c r="X1477" s="1"/>
      <c r="Y1477" s="1" t="str">
        <f>"02007002291201873"</f>
        <v>02007002291201873</v>
      </c>
      <c r="Z1477" s="1" t="s">
        <v>114</v>
      </c>
      <c r="AA1477" s="1" t="s">
        <v>6203</v>
      </c>
      <c r="AB1477" s="1" t="str">
        <f>"12765924000168"</f>
        <v>12765924000168</v>
      </c>
      <c r="AC1477" s="1"/>
      <c r="AD1477" s="1" t="s">
        <v>116</v>
      </c>
      <c r="AE1477" s="1"/>
      <c r="AF1477" s="1">
        <v>0.0</v>
      </c>
      <c r="AG1477" s="1">
        <v>0.0</v>
      </c>
      <c r="AH1477" s="1"/>
      <c r="AI1477" s="1"/>
      <c r="AJ1477" s="1"/>
      <c r="AK1477" s="1"/>
      <c r="AL1477" s="1" t="s">
        <v>118</v>
      </c>
      <c r="AM1477" s="1"/>
      <c r="AN1477" s="1"/>
      <c r="AO1477" s="2">
        <v>43879.6394212963</v>
      </c>
      <c r="AP1477" s="2">
        <v>43879.6394212963</v>
      </c>
      <c r="AQ1477" s="1" t="s">
        <v>80</v>
      </c>
      <c r="AR1477" s="1" t="s">
        <v>119</v>
      </c>
      <c r="AS1477" s="1"/>
      <c r="AT1477" s="2">
        <v>44269.931099537</v>
      </c>
    </row>
    <row r="1478" ht="13.5" customHeight="1">
      <c r="A1478" s="1"/>
      <c r="B1478" s="1" t="s">
        <v>46</v>
      </c>
      <c r="C1478" s="1" t="s">
        <v>47</v>
      </c>
      <c r="D1478" s="1"/>
      <c r="E1478" s="1" t="s">
        <v>6204</v>
      </c>
      <c r="F1478" s="1"/>
      <c r="G1478" s="1"/>
      <c r="H1478" s="1" t="s">
        <v>93</v>
      </c>
      <c r="I1478" s="1">
        <v>500.0</v>
      </c>
      <c r="J1478" s="1"/>
      <c r="K1478" s="1" t="s">
        <v>51</v>
      </c>
      <c r="L1478" s="1"/>
      <c r="M1478" s="1" t="s">
        <v>6205</v>
      </c>
      <c r="N1478" s="1" t="s">
        <v>212</v>
      </c>
      <c r="O1478" s="1" t="s">
        <v>213</v>
      </c>
      <c r="P1478" s="2">
        <v>43776.6759375</v>
      </c>
      <c r="Q1478" s="1" t="s">
        <v>373</v>
      </c>
      <c r="R1478" s="1"/>
      <c r="S1478" s="1"/>
      <c r="T1478" s="1">
        <v>2615607.0</v>
      </c>
      <c r="U1478" s="1" t="s">
        <v>5422</v>
      </c>
      <c r="V1478" s="1" t="s">
        <v>1037</v>
      </c>
      <c r="W1478" s="1" t="s">
        <v>113</v>
      </c>
      <c r="X1478" s="1"/>
      <c r="Y1478" s="1" t="str">
        <f>"02019000249202001"</f>
        <v>02019000249202001</v>
      </c>
      <c r="Z1478" s="1" t="s">
        <v>215</v>
      </c>
      <c r="AA1478" s="1" t="s">
        <v>6206</v>
      </c>
      <c r="AB1478" s="1" t="str">
        <f>"29422089000166"</f>
        <v>29422089000166</v>
      </c>
      <c r="AC1478" s="1"/>
      <c r="AD1478" s="1" t="s">
        <v>149</v>
      </c>
      <c r="AE1478" s="1"/>
      <c r="AF1478" s="1">
        <v>-40.247501</v>
      </c>
      <c r="AG1478" s="1">
        <v>-7.725833</v>
      </c>
      <c r="AH1478" s="1" t="s">
        <v>6207</v>
      </c>
      <c r="AI1478" s="1"/>
      <c r="AJ1478" s="1" t="s">
        <v>1040</v>
      </c>
      <c r="AK1478" s="1"/>
      <c r="AL1478" s="1"/>
      <c r="AM1478" s="1" t="s">
        <v>65</v>
      </c>
      <c r="AN1478" s="1" t="s">
        <v>5207</v>
      </c>
      <c r="AO1478" s="1"/>
      <c r="AP1478" s="2">
        <v>43776.6887962963</v>
      </c>
      <c r="AQ1478" s="1"/>
      <c r="AR1478" s="1" t="s">
        <v>1280</v>
      </c>
      <c r="AS1478" s="1"/>
      <c r="AT1478" s="2">
        <v>44269.931099537</v>
      </c>
    </row>
    <row r="1479" ht="13.5" customHeight="1">
      <c r="A1479" s="1"/>
      <c r="B1479" s="1" t="s">
        <v>46</v>
      </c>
      <c r="C1479" s="1" t="s">
        <v>47</v>
      </c>
      <c r="D1479" s="1"/>
      <c r="E1479" s="1" t="s">
        <v>6208</v>
      </c>
      <c r="F1479" s="1"/>
      <c r="G1479" s="1"/>
      <c r="H1479" s="1" t="s">
        <v>50</v>
      </c>
      <c r="I1479" s="1">
        <v>1650.0</v>
      </c>
      <c r="J1479" s="1"/>
      <c r="K1479" s="1" t="s">
        <v>51</v>
      </c>
      <c r="L1479" s="1"/>
      <c r="M1479" s="1" t="s">
        <v>6209</v>
      </c>
      <c r="N1479" s="1" t="s">
        <v>977</v>
      </c>
      <c r="O1479" s="1" t="s">
        <v>978</v>
      </c>
      <c r="P1479" s="2">
        <v>43776.6638194444</v>
      </c>
      <c r="Q1479" s="1" t="s">
        <v>55</v>
      </c>
      <c r="R1479" s="1"/>
      <c r="S1479" s="1"/>
      <c r="T1479" s="1">
        <v>5105176.0</v>
      </c>
      <c r="U1479" s="1" t="s">
        <v>6210</v>
      </c>
      <c r="V1479" s="1" t="s">
        <v>164</v>
      </c>
      <c r="W1479" s="1" t="s">
        <v>177</v>
      </c>
      <c r="X1479" s="1"/>
      <c r="Y1479" s="1"/>
      <c r="Z1479" s="1" t="s">
        <v>980</v>
      </c>
      <c r="AA1479" s="1" t="s">
        <v>6211</v>
      </c>
      <c r="AB1479" s="1" t="str">
        <f>"***876328**"</f>
        <v>***876328**</v>
      </c>
      <c r="AC1479" s="1"/>
      <c r="AD1479" s="1" t="s">
        <v>149</v>
      </c>
      <c r="AE1479" s="1"/>
      <c r="AF1479" s="1">
        <v>-58.467777</v>
      </c>
      <c r="AG1479" s="1">
        <v>-10.481945</v>
      </c>
      <c r="AH1479" s="1" t="s">
        <v>6212</v>
      </c>
      <c r="AI1479" s="1"/>
      <c r="AJ1479" s="1" t="s">
        <v>172</v>
      </c>
      <c r="AK1479" s="1"/>
      <c r="AL1479" s="1"/>
      <c r="AM1479" s="1" t="s">
        <v>65</v>
      </c>
      <c r="AN1479" s="1" t="s">
        <v>1395</v>
      </c>
      <c r="AO1479" s="1"/>
      <c r="AP1479" s="2">
        <v>43776.7900462963</v>
      </c>
      <c r="AQ1479" s="1"/>
      <c r="AR1479" s="1" t="s">
        <v>6213</v>
      </c>
      <c r="AS1479" s="1"/>
      <c r="AT1479" s="2">
        <v>44269.931099537</v>
      </c>
    </row>
    <row r="1480" ht="13.5" customHeight="1">
      <c r="A1480" s="1"/>
      <c r="B1480" s="1" t="s">
        <v>46</v>
      </c>
      <c r="C1480" s="1" t="s">
        <v>47</v>
      </c>
      <c r="D1480" s="1"/>
      <c r="E1480" s="1" t="s">
        <v>6214</v>
      </c>
      <c r="F1480" s="1"/>
      <c r="G1480" s="1" t="s">
        <v>49</v>
      </c>
      <c r="H1480" s="1" t="s">
        <v>93</v>
      </c>
      <c r="I1480" s="1">
        <v>14700.0</v>
      </c>
      <c r="J1480" s="1"/>
      <c r="K1480" s="1"/>
      <c r="L1480" s="1"/>
      <c r="M1480" s="1" t="s">
        <v>6215</v>
      </c>
      <c r="N1480" s="1" t="s">
        <v>142</v>
      </c>
      <c r="O1480" s="1" t="s">
        <v>143</v>
      </c>
      <c r="P1480" s="2">
        <v>43776.6626388889</v>
      </c>
      <c r="Q1480" s="1" t="s">
        <v>55</v>
      </c>
      <c r="R1480" s="1"/>
      <c r="S1480" s="1"/>
      <c r="T1480" s="1">
        <v>2615607.0</v>
      </c>
      <c r="U1480" s="1" t="s">
        <v>5422</v>
      </c>
      <c r="V1480" s="1" t="s">
        <v>1037</v>
      </c>
      <c r="W1480" s="1" t="s">
        <v>113</v>
      </c>
      <c r="X1480" s="1"/>
      <c r="Y1480" s="1"/>
      <c r="Z1480" s="1" t="s">
        <v>147</v>
      </c>
      <c r="AA1480" s="1" t="s">
        <v>6216</v>
      </c>
      <c r="AB1480" s="1" t="str">
        <f>"11502255000179"</f>
        <v>11502255000179</v>
      </c>
      <c r="AC1480" s="1"/>
      <c r="AD1480" s="1" t="s">
        <v>116</v>
      </c>
      <c r="AE1480" s="1"/>
      <c r="AF1480" s="1">
        <v>-40.254723</v>
      </c>
      <c r="AG1480" s="1">
        <v>-7.740834</v>
      </c>
      <c r="AH1480" s="1" t="s">
        <v>6217</v>
      </c>
      <c r="AI1480" s="1"/>
      <c r="AJ1480" s="1" t="s">
        <v>1040</v>
      </c>
      <c r="AK1480" s="1"/>
      <c r="AL1480" s="1"/>
      <c r="AM1480" s="1" t="s">
        <v>65</v>
      </c>
      <c r="AN1480" s="1" t="s">
        <v>1279</v>
      </c>
      <c r="AO1480" s="1"/>
      <c r="AP1480" s="2">
        <v>43776.6889699074</v>
      </c>
      <c r="AQ1480" s="1"/>
      <c r="AR1480" s="1" t="s">
        <v>280</v>
      </c>
      <c r="AS1480" s="1"/>
      <c r="AT1480" s="2">
        <v>44269.931099537</v>
      </c>
    </row>
    <row r="1481" ht="13.5" customHeight="1">
      <c r="A1481" s="1"/>
      <c r="B1481" s="1" t="s">
        <v>46</v>
      </c>
      <c r="C1481" s="1" t="s">
        <v>47</v>
      </c>
      <c r="D1481" s="1"/>
      <c r="E1481" s="1" t="s">
        <v>6218</v>
      </c>
      <c r="F1481" s="1"/>
      <c r="G1481" s="1" t="s">
        <v>49</v>
      </c>
      <c r="H1481" s="1" t="s">
        <v>93</v>
      </c>
      <c r="I1481" s="1">
        <v>2600.0</v>
      </c>
      <c r="J1481" s="1"/>
      <c r="K1481" s="1"/>
      <c r="L1481" s="1"/>
      <c r="M1481" s="1" t="s">
        <v>6219</v>
      </c>
      <c r="N1481" s="1" t="s">
        <v>95</v>
      </c>
      <c r="O1481" s="1" t="s">
        <v>96</v>
      </c>
      <c r="P1481" s="2">
        <v>43776.6530324074</v>
      </c>
      <c r="Q1481" s="1" t="s">
        <v>373</v>
      </c>
      <c r="R1481" s="1"/>
      <c r="S1481" s="1" t="s">
        <v>174</v>
      </c>
      <c r="T1481" s="1">
        <v>4101804.0</v>
      </c>
      <c r="U1481" s="1" t="s">
        <v>2386</v>
      </c>
      <c r="V1481" s="1" t="s">
        <v>176</v>
      </c>
      <c r="W1481" s="1" t="s">
        <v>59</v>
      </c>
      <c r="X1481" s="1"/>
      <c r="Y1481" s="1"/>
      <c r="Z1481" s="1" t="s">
        <v>98</v>
      </c>
      <c r="AA1481" s="1" t="s">
        <v>6220</v>
      </c>
      <c r="AB1481" s="1" t="str">
        <f>"***027999**"</f>
        <v>***027999**</v>
      </c>
      <c r="AC1481" s="1"/>
      <c r="AD1481" s="1" t="s">
        <v>62</v>
      </c>
      <c r="AE1481" s="1"/>
      <c r="AF1481" s="1">
        <v>-49.380554</v>
      </c>
      <c r="AG1481" s="1">
        <v>-25.588333</v>
      </c>
      <c r="AH1481" s="1" t="s">
        <v>6221</v>
      </c>
      <c r="AI1481" s="1"/>
      <c r="AJ1481" s="1" t="s">
        <v>358</v>
      </c>
      <c r="AK1481" s="1"/>
      <c r="AL1481" s="1"/>
      <c r="AM1481" s="1" t="s">
        <v>65</v>
      </c>
      <c r="AN1481" s="1" t="s">
        <v>1257</v>
      </c>
      <c r="AO1481" s="1"/>
      <c r="AP1481" s="2">
        <v>44079.0924421296</v>
      </c>
      <c r="AQ1481" s="1"/>
      <c r="AR1481" s="1" t="s">
        <v>6222</v>
      </c>
      <c r="AS1481" s="1"/>
      <c r="AT1481" s="2">
        <v>44269.931099537</v>
      </c>
    </row>
    <row r="1482" ht="13.5" customHeight="1">
      <c r="A1482" s="1"/>
      <c r="B1482" s="1" t="s">
        <v>46</v>
      </c>
      <c r="C1482" s="1" t="s">
        <v>47</v>
      </c>
      <c r="D1482" s="1"/>
      <c r="E1482" s="1" t="s">
        <v>6223</v>
      </c>
      <c r="F1482" s="1"/>
      <c r="G1482" s="1"/>
      <c r="H1482" s="1" t="s">
        <v>93</v>
      </c>
      <c r="I1482" s="1">
        <v>1500.0</v>
      </c>
      <c r="J1482" s="1"/>
      <c r="K1482" s="1"/>
      <c r="L1482" s="1"/>
      <c r="M1482" s="1" t="s">
        <v>6224</v>
      </c>
      <c r="N1482" s="1" t="s">
        <v>95</v>
      </c>
      <c r="O1482" s="1" t="s">
        <v>96</v>
      </c>
      <c r="P1482" s="2">
        <v>43776.6437384259</v>
      </c>
      <c r="Q1482" s="1" t="s">
        <v>74</v>
      </c>
      <c r="R1482" s="1"/>
      <c r="S1482" s="1"/>
      <c r="T1482" s="1">
        <v>1506500.0</v>
      </c>
      <c r="U1482" s="1" t="s">
        <v>6225</v>
      </c>
      <c r="V1482" s="1" t="s">
        <v>193</v>
      </c>
      <c r="W1482" s="1" t="s">
        <v>177</v>
      </c>
      <c r="X1482" s="1"/>
      <c r="Y1482" s="1"/>
      <c r="Z1482" s="1" t="s">
        <v>98</v>
      </c>
      <c r="AA1482" s="1" t="s">
        <v>6226</v>
      </c>
      <c r="AB1482" s="1" t="str">
        <f>"***333172**"</f>
        <v>***333172**</v>
      </c>
      <c r="AC1482" s="1"/>
      <c r="AD1482" s="1" t="s">
        <v>149</v>
      </c>
      <c r="AE1482" s="1"/>
      <c r="AF1482" s="1">
        <v>-48.161392</v>
      </c>
      <c r="AG1482" s="1">
        <v>-1.294722</v>
      </c>
      <c r="AH1482" s="1" t="s">
        <v>6227</v>
      </c>
      <c r="AI1482" s="1"/>
      <c r="AJ1482" s="1" t="s">
        <v>196</v>
      </c>
      <c r="AK1482" s="1"/>
      <c r="AL1482" s="1"/>
      <c r="AM1482" s="1" t="s">
        <v>65</v>
      </c>
      <c r="AN1482" s="1" t="s">
        <v>197</v>
      </c>
      <c r="AO1482" s="1"/>
      <c r="AP1482" s="2">
        <v>43776.6645601852</v>
      </c>
      <c r="AQ1482" s="1"/>
      <c r="AR1482" s="1" t="s">
        <v>6228</v>
      </c>
      <c r="AS1482" s="1"/>
      <c r="AT1482" s="2">
        <v>44269.931099537</v>
      </c>
    </row>
    <row r="1483" ht="13.5" customHeight="1">
      <c r="A1483" s="1"/>
      <c r="B1483" s="1" t="s">
        <v>46</v>
      </c>
      <c r="C1483" s="1" t="s">
        <v>47</v>
      </c>
      <c r="D1483" s="1"/>
      <c r="E1483" s="1" t="s">
        <v>6229</v>
      </c>
      <c r="F1483" s="1"/>
      <c r="G1483" s="1" t="s">
        <v>49</v>
      </c>
      <c r="H1483" s="1" t="s">
        <v>93</v>
      </c>
      <c r="I1483" s="1">
        <v>4000.0</v>
      </c>
      <c r="J1483" s="1"/>
      <c r="K1483" s="1"/>
      <c r="L1483" s="1"/>
      <c r="M1483" s="1" t="s">
        <v>6230</v>
      </c>
      <c r="N1483" s="1" t="s">
        <v>95</v>
      </c>
      <c r="O1483" s="1" t="s">
        <v>96</v>
      </c>
      <c r="P1483" s="2">
        <v>43776.6276157407</v>
      </c>
      <c r="Q1483" s="1" t="s">
        <v>373</v>
      </c>
      <c r="R1483" s="1"/>
      <c r="S1483" s="1" t="s">
        <v>174</v>
      </c>
      <c r="T1483" s="1">
        <v>4101804.0</v>
      </c>
      <c r="U1483" s="1" t="s">
        <v>2386</v>
      </c>
      <c r="V1483" s="1" t="s">
        <v>176</v>
      </c>
      <c r="W1483" s="1" t="s">
        <v>59</v>
      </c>
      <c r="X1483" s="1"/>
      <c r="Y1483" s="1"/>
      <c r="Z1483" s="1" t="s">
        <v>98</v>
      </c>
      <c r="AA1483" s="1" t="s">
        <v>6220</v>
      </c>
      <c r="AB1483" s="1" t="str">
        <f>"***027999**"</f>
        <v>***027999**</v>
      </c>
      <c r="AC1483" s="1"/>
      <c r="AD1483" s="1" t="s">
        <v>62</v>
      </c>
      <c r="AE1483" s="1"/>
      <c r="AF1483" s="1">
        <v>-49.380833</v>
      </c>
      <c r="AG1483" s="1">
        <v>-25.588612</v>
      </c>
      <c r="AH1483" s="1" t="s">
        <v>6231</v>
      </c>
      <c r="AI1483" s="1"/>
      <c r="AJ1483" s="1" t="s">
        <v>358</v>
      </c>
      <c r="AK1483" s="1"/>
      <c r="AL1483" s="1"/>
      <c r="AM1483" s="1" t="s">
        <v>65</v>
      </c>
      <c r="AN1483" s="1" t="s">
        <v>1257</v>
      </c>
      <c r="AO1483" s="1"/>
      <c r="AP1483" s="2">
        <v>44079.1146527778</v>
      </c>
      <c r="AQ1483" s="1"/>
      <c r="AR1483" s="1" t="s">
        <v>6232</v>
      </c>
      <c r="AS1483" s="1"/>
      <c r="AT1483" s="2">
        <v>44269.931099537</v>
      </c>
    </row>
    <row r="1484" ht="13.5" customHeight="1">
      <c r="A1484" s="1">
        <v>2042704.0</v>
      </c>
      <c r="B1484" s="1" t="s">
        <v>67</v>
      </c>
      <c r="C1484" s="1" t="s">
        <v>68</v>
      </c>
      <c r="D1484" s="1" t="s">
        <v>46</v>
      </c>
      <c r="E1484" s="1" t="s">
        <v>6233</v>
      </c>
      <c r="F1484" s="1"/>
      <c r="G1484" s="1" t="s">
        <v>70</v>
      </c>
      <c r="H1484" s="1" t="s">
        <v>93</v>
      </c>
      <c r="I1484" s="1">
        <v>500.0</v>
      </c>
      <c r="J1484" s="1"/>
      <c r="K1484" s="1"/>
      <c r="L1484" s="1" t="s">
        <v>1040</v>
      </c>
      <c r="M1484" s="1" t="s">
        <v>6153</v>
      </c>
      <c r="N1484" s="1" t="s">
        <v>72</v>
      </c>
      <c r="O1484" s="1" t="s">
        <v>213</v>
      </c>
      <c r="P1484" s="2">
        <v>43776.625</v>
      </c>
      <c r="Q1484" s="1" t="s">
        <v>55</v>
      </c>
      <c r="R1484" s="1"/>
      <c r="S1484" s="1"/>
      <c r="T1484" s="1">
        <v>2607307.0</v>
      </c>
      <c r="U1484" s="1" t="s">
        <v>5204</v>
      </c>
      <c r="V1484" s="1" t="s">
        <v>1037</v>
      </c>
      <c r="W1484" s="1" t="s">
        <v>113</v>
      </c>
      <c r="X1484" s="1"/>
      <c r="Y1484" s="1" t="str">
        <f>"02019000250202028"</f>
        <v>02019000250202028</v>
      </c>
      <c r="Z1484" s="1" t="s">
        <v>215</v>
      </c>
      <c r="AA1484" s="1" t="s">
        <v>5205</v>
      </c>
      <c r="AB1484" s="1" t="str">
        <f>"05846618000190"</f>
        <v>05846618000190</v>
      </c>
      <c r="AC1484" s="1"/>
      <c r="AD1484" s="1"/>
      <c r="AE1484" s="1"/>
      <c r="AF1484" s="1">
        <v>-40.351944</v>
      </c>
      <c r="AG1484" s="1">
        <v>-7.773611</v>
      </c>
      <c r="AH1484" s="1" t="s">
        <v>6234</v>
      </c>
      <c r="AI1484" s="1"/>
      <c r="AJ1484" s="1" t="s">
        <v>1040</v>
      </c>
      <c r="AK1484" s="1"/>
      <c r="AL1484" s="1" t="s">
        <v>79</v>
      </c>
      <c r="AM1484" s="1" t="s">
        <v>65</v>
      </c>
      <c r="AN1484" s="1" t="s">
        <v>1279</v>
      </c>
      <c r="AO1484" s="2">
        <v>44215.0</v>
      </c>
      <c r="AP1484" s="2">
        <v>44215.7778819445</v>
      </c>
      <c r="AQ1484" s="1" t="s">
        <v>80</v>
      </c>
      <c r="AR1484" s="1" t="s">
        <v>909</v>
      </c>
      <c r="AS1484" s="1"/>
      <c r="AT1484" s="2">
        <v>44269.931099537</v>
      </c>
    </row>
    <row r="1485" ht="13.5" customHeight="1">
      <c r="A1485" s="1">
        <v>2035261.0</v>
      </c>
      <c r="B1485" s="1" t="s">
        <v>67</v>
      </c>
      <c r="C1485" s="1" t="s">
        <v>68</v>
      </c>
      <c r="D1485" s="1" t="s">
        <v>46</v>
      </c>
      <c r="E1485" s="1" t="s">
        <v>6235</v>
      </c>
      <c r="F1485" s="1"/>
      <c r="G1485" s="1" t="s">
        <v>70</v>
      </c>
      <c r="H1485" s="1" t="s">
        <v>93</v>
      </c>
      <c r="I1485" s="1">
        <v>10500.0</v>
      </c>
      <c r="J1485" s="1"/>
      <c r="K1485" s="1"/>
      <c r="L1485" s="1" t="s">
        <v>106</v>
      </c>
      <c r="M1485" s="1" t="s">
        <v>6236</v>
      </c>
      <c r="N1485" s="1" t="s">
        <v>283</v>
      </c>
      <c r="O1485" s="1" t="s">
        <v>213</v>
      </c>
      <c r="P1485" s="2">
        <v>43776.6194444445</v>
      </c>
      <c r="Q1485" s="1" t="s">
        <v>74</v>
      </c>
      <c r="R1485" s="3">
        <v>43805.0</v>
      </c>
      <c r="S1485" s="1"/>
      <c r="T1485" s="1">
        <v>2304400.0</v>
      </c>
      <c r="U1485" s="1" t="s">
        <v>111</v>
      </c>
      <c r="V1485" s="1" t="s">
        <v>112</v>
      </c>
      <c r="W1485" s="1" t="s">
        <v>113</v>
      </c>
      <c r="X1485" s="1"/>
      <c r="Y1485" s="1" t="str">
        <f>"02007003720201919"</f>
        <v>02007003720201919</v>
      </c>
      <c r="Z1485" s="1" t="s">
        <v>6237</v>
      </c>
      <c r="AA1485" s="1" t="s">
        <v>6238</v>
      </c>
      <c r="AB1485" s="1" t="str">
        <f>"03040349000145"</f>
        <v>03040349000145</v>
      </c>
      <c r="AC1485" s="1"/>
      <c r="AD1485" s="1" t="s">
        <v>116</v>
      </c>
      <c r="AE1485" s="1"/>
      <c r="AF1485" s="1">
        <v>0.0</v>
      </c>
      <c r="AG1485" s="1">
        <v>0.0</v>
      </c>
      <c r="AH1485" s="1" t="s">
        <v>1480</v>
      </c>
      <c r="AI1485" s="1"/>
      <c r="AJ1485" s="1"/>
      <c r="AK1485" s="1"/>
      <c r="AL1485" s="1" t="s">
        <v>118</v>
      </c>
      <c r="AM1485" s="1"/>
      <c r="AN1485" s="1"/>
      <c r="AO1485" s="2">
        <v>43899.6144212963</v>
      </c>
      <c r="AP1485" s="2">
        <v>43899.6144212963</v>
      </c>
      <c r="AQ1485" s="1" t="s">
        <v>80</v>
      </c>
      <c r="AR1485" s="1" t="s">
        <v>5834</v>
      </c>
      <c r="AS1485" s="1" t="s">
        <v>6239</v>
      </c>
      <c r="AT1485" s="2">
        <v>44269.931099537</v>
      </c>
    </row>
    <row r="1486" ht="13.5" customHeight="1">
      <c r="A1486" s="1"/>
      <c r="B1486" s="1" t="s">
        <v>46</v>
      </c>
      <c r="C1486" s="1" t="s">
        <v>47</v>
      </c>
      <c r="D1486" s="1"/>
      <c r="E1486" s="1" t="s">
        <v>6240</v>
      </c>
      <c r="F1486" s="1"/>
      <c r="G1486" s="1"/>
      <c r="H1486" s="1" t="s">
        <v>93</v>
      </c>
      <c r="I1486" s="1">
        <v>6500.0</v>
      </c>
      <c r="J1486" s="1"/>
      <c r="K1486" s="1"/>
      <c r="L1486" s="1"/>
      <c r="M1486" s="1" t="s">
        <v>6241</v>
      </c>
      <c r="N1486" s="1" t="s">
        <v>95</v>
      </c>
      <c r="O1486" s="1" t="s">
        <v>96</v>
      </c>
      <c r="P1486" s="2">
        <v>43776.6160532407</v>
      </c>
      <c r="Q1486" s="1" t="s">
        <v>373</v>
      </c>
      <c r="R1486" s="1"/>
      <c r="S1486" s="1"/>
      <c r="T1486" s="1">
        <v>3170701.0</v>
      </c>
      <c r="U1486" s="1" t="s">
        <v>6242</v>
      </c>
      <c r="V1486" s="1" t="s">
        <v>126</v>
      </c>
      <c r="W1486" s="1" t="s">
        <v>59</v>
      </c>
      <c r="X1486" s="1"/>
      <c r="Y1486" s="1"/>
      <c r="Z1486" s="1" t="s">
        <v>98</v>
      </c>
      <c r="AA1486" s="1" t="s">
        <v>6243</v>
      </c>
      <c r="AB1486" s="1" t="str">
        <f>"***704826**"</f>
        <v>***704826**</v>
      </c>
      <c r="AC1486" s="1"/>
      <c r="AD1486" s="1" t="s">
        <v>149</v>
      </c>
      <c r="AE1486" s="1"/>
      <c r="AF1486" s="1">
        <v>-45.443333</v>
      </c>
      <c r="AG1486" s="1">
        <v>-21.561666</v>
      </c>
      <c r="AH1486" s="1" t="s">
        <v>6244</v>
      </c>
      <c r="AI1486" s="1"/>
      <c r="AJ1486" s="1" t="s">
        <v>4389</v>
      </c>
      <c r="AK1486" s="1"/>
      <c r="AL1486" s="1"/>
      <c r="AM1486" s="1" t="s">
        <v>65</v>
      </c>
      <c r="AN1486" s="1" t="s">
        <v>5828</v>
      </c>
      <c r="AO1486" s="1"/>
      <c r="AP1486" s="2">
        <v>43776.627662037</v>
      </c>
      <c r="AQ1486" s="1"/>
      <c r="AR1486" s="1" t="s">
        <v>948</v>
      </c>
      <c r="AS1486" s="1"/>
      <c r="AT1486" s="2">
        <v>44269.931099537</v>
      </c>
    </row>
    <row r="1487" ht="13.5" customHeight="1">
      <c r="A1487" s="1"/>
      <c r="B1487" s="1" t="s">
        <v>46</v>
      </c>
      <c r="C1487" s="1" t="s">
        <v>47</v>
      </c>
      <c r="D1487" s="1"/>
      <c r="E1487" s="1" t="s">
        <v>6245</v>
      </c>
      <c r="F1487" s="1"/>
      <c r="G1487" s="1"/>
      <c r="H1487" s="1" t="s">
        <v>93</v>
      </c>
      <c r="I1487" s="1">
        <v>5857.47</v>
      </c>
      <c r="J1487" s="1"/>
      <c r="K1487" s="1"/>
      <c r="L1487" s="1"/>
      <c r="M1487" s="1" t="s">
        <v>6246</v>
      </c>
      <c r="N1487" s="1" t="s">
        <v>142</v>
      </c>
      <c r="O1487" s="1" t="s">
        <v>143</v>
      </c>
      <c r="P1487" s="2">
        <v>43776.6055208333</v>
      </c>
      <c r="Q1487" s="1" t="s">
        <v>373</v>
      </c>
      <c r="R1487" s="1"/>
      <c r="S1487" s="1"/>
      <c r="T1487" s="1">
        <v>2211001.0</v>
      </c>
      <c r="U1487" s="1" t="s">
        <v>1667</v>
      </c>
      <c r="V1487" s="1" t="s">
        <v>895</v>
      </c>
      <c r="W1487" s="1" t="s">
        <v>177</v>
      </c>
      <c r="X1487" s="1"/>
      <c r="Y1487" s="1"/>
      <c r="Z1487" s="1" t="s">
        <v>147</v>
      </c>
      <c r="AA1487" s="1" t="s">
        <v>6247</v>
      </c>
      <c r="AB1487" s="1" t="str">
        <f>"***683984**"</f>
        <v>***683984**</v>
      </c>
      <c r="AC1487" s="1"/>
      <c r="AD1487" s="1" t="s">
        <v>149</v>
      </c>
      <c r="AE1487" s="1"/>
      <c r="AF1487" s="1">
        <v>-42.782776</v>
      </c>
      <c r="AG1487" s="1">
        <v>-5.065278</v>
      </c>
      <c r="AH1487" s="1" t="s">
        <v>6248</v>
      </c>
      <c r="AI1487" s="1"/>
      <c r="AJ1487" s="1" t="s">
        <v>898</v>
      </c>
      <c r="AK1487" s="1"/>
      <c r="AL1487" s="1"/>
      <c r="AM1487" s="1" t="s">
        <v>65</v>
      </c>
      <c r="AN1487" s="1" t="s">
        <v>152</v>
      </c>
      <c r="AO1487" s="1"/>
      <c r="AP1487" s="2">
        <v>43776.6309143519</v>
      </c>
      <c r="AQ1487" s="1"/>
      <c r="AR1487" s="1" t="s">
        <v>360</v>
      </c>
      <c r="AS1487" s="1"/>
      <c r="AT1487" s="2">
        <v>44269.931099537</v>
      </c>
    </row>
    <row r="1488" ht="13.5" customHeight="1">
      <c r="A1488" s="1"/>
      <c r="B1488" s="1" t="s">
        <v>46</v>
      </c>
      <c r="C1488" s="1" t="s">
        <v>47</v>
      </c>
      <c r="D1488" s="1"/>
      <c r="E1488" s="1" t="s">
        <v>6249</v>
      </c>
      <c r="F1488" s="1"/>
      <c r="G1488" s="1"/>
      <c r="H1488" s="1" t="s">
        <v>93</v>
      </c>
      <c r="I1488" s="1">
        <v>700.0</v>
      </c>
      <c r="J1488" s="1"/>
      <c r="K1488" s="1" t="s">
        <v>51</v>
      </c>
      <c r="L1488" s="1"/>
      <c r="M1488" s="1" t="s">
        <v>6250</v>
      </c>
      <c r="N1488" s="1" t="s">
        <v>123</v>
      </c>
      <c r="O1488" s="1" t="s">
        <v>73</v>
      </c>
      <c r="P1488" s="2">
        <v>43776.6040625</v>
      </c>
      <c r="Q1488" s="1" t="s">
        <v>55</v>
      </c>
      <c r="R1488" s="1"/>
      <c r="S1488" s="1"/>
      <c r="T1488" s="1">
        <v>3518800.0</v>
      </c>
      <c r="U1488" s="1" t="s">
        <v>57</v>
      </c>
      <c r="V1488" s="1" t="s">
        <v>58</v>
      </c>
      <c r="W1488" s="1" t="s">
        <v>59</v>
      </c>
      <c r="X1488" s="1"/>
      <c r="Y1488" s="1"/>
      <c r="Z1488" s="1" t="s">
        <v>76</v>
      </c>
      <c r="AA1488" s="1" t="s">
        <v>6251</v>
      </c>
      <c r="AB1488" s="1" t="str">
        <f>"08338986000469"</f>
        <v>08338986000469</v>
      </c>
      <c r="AC1488" s="1"/>
      <c r="AD1488" s="1" t="s">
        <v>62</v>
      </c>
      <c r="AE1488" s="1"/>
      <c r="AF1488" s="1">
        <v>-46.487499</v>
      </c>
      <c r="AG1488" s="1">
        <v>-23.425554</v>
      </c>
      <c r="AH1488" s="1" t="s">
        <v>6252</v>
      </c>
      <c r="AI1488" s="1"/>
      <c r="AJ1488" s="1" t="s">
        <v>64</v>
      </c>
      <c r="AK1488" s="1"/>
      <c r="AL1488" s="1"/>
      <c r="AM1488" s="1" t="s">
        <v>65</v>
      </c>
      <c r="AN1488" s="1"/>
      <c r="AO1488" s="1"/>
      <c r="AP1488" s="2">
        <v>43776.6192592593</v>
      </c>
      <c r="AQ1488" s="1"/>
      <c r="AR1488" s="1" t="s">
        <v>6253</v>
      </c>
      <c r="AS1488" s="1"/>
      <c r="AT1488" s="2">
        <v>44269.931099537</v>
      </c>
    </row>
    <row r="1489" ht="13.5" customHeight="1">
      <c r="A1489" s="1"/>
      <c r="B1489" s="1" t="s">
        <v>46</v>
      </c>
      <c r="C1489" s="1" t="s">
        <v>47</v>
      </c>
      <c r="D1489" s="1"/>
      <c r="E1489" s="1" t="s">
        <v>6254</v>
      </c>
      <c r="F1489" s="1"/>
      <c r="G1489" s="1"/>
      <c r="H1489" s="1" t="s">
        <v>93</v>
      </c>
      <c r="I1489" s="1">
        <v>145000.0</v>
      </c>
      <c r="J1489" s="1"/>
      <c r="K1489" s="1"/>
      <c r="L1489" s="1"/>
      <c r="M1489" s="1" t="s">
        <v>6255</v>
      </c>
      <c r="N1489" s="1" t="s">
        <v>142</v>
      </c>
      <c r="O1489" s="1" t="s">
        <v>143</v>
      </c>
      <c r="P1489" s="2">
        <v>43776.5933449074</v>
      </c>
      <c r="Q1489" s="1" t="s">
        <v>373</v>
      </c>
      <c r="R1489" s="1"/>
      <c r="S1489" s="1"/>
      <c r="T1489" s="1">
        <v>1200104.0</v>
      </c>
      <c r="U1489" s="1" t="s">
        <v>4755</v>
      </c>
      <c r="V1489" s="1" t="s">
        <v>498</v>
      </c>
      <c r="W1489" s="1" t="s">
        <v>177</v>
      </c>
      <c r="X1489" s="1"/>
      <c r="Y1489" s="1"/>
      <c r="Z1489" s="1" t="s">
        <v>147</v>
      </c>
      <c r="AA1489" s="1" t="s">
        <v>6256</v>
      </c>
      <c r="AB1489" s="1" t="str">
        <f>"***076428**"</f>
        <v>***076428**</v>
      </c>
      <c r="AC1489" s="1"/>
      <c r="AD1489" s="1" t="s">
        <v>116</v>
      </c>
      <c r="AE1489" s="1"/>
      <c r="AF1489" s="1">
        <v>-69.236938</v>
      </c>
      <c r="AG1489" s="1">
        <v>-10.890278</v>
      </c>
      <c r="AH1489" s="1" t="s">
        <v>6257</v>
      </c>
      <c r="AI1489" s="1"/>
      <c r="AJ1489" s="1" t="s">
        <v>172</v>
      </c>
      <c r="AK1489" s="1"/>
      <c r="AL1489" s="1"/>
      <c r="AM1489" s="1" t="s">
        <v>65</v>
      </c>
      <c r="AN1489" s="1" t="s">
        <v>6258</v>
      </c>
      <c r="AO1489" s="1"/>
      <c r="AP1489" s="2">
        <v>43776.6119907407</v>
      </c>
      <c r="AQ1489" s="1"/>
      <c r="AR1489" s="1" t="s">
        <v>3478</v>
      </c>
      <c r="AS1489" s="1"/>
      <c r="AT1489" s="2">
        <v>44269.931099537</v>
      </c>
    </row>
    <row r="1490" ht="13.5" customHeight="1">
      <c r="A1490" s="1">
        <v>2039547.0</v>
      </c>
      <c r="B1490" s="1" t="s">
        <v>67</v>
      </c>
      <c r="C1490" s="1" t="s">
        <v>68</v>
      </c>
      <c r="D1490" s="1" t="s">
        <v>46</v>
      </c>
      <c r="E1490" s="1" t="s">
        <v>6259</v>
      </c>
      <c r="F1490" s="1"/>
      <c r="G1490" s="1" t="s">
        <v>70</v>
      </c>
      <c r="H1490" s="1" t="s">
        <v>93</v>
      </c>
      <c r="I1490" s="1">
        <v>120000.0</v>
      </c>
      <c r="J1490" s="1"/>
      <c r="K1490" s="1"/>
      <c r="L1490" s="1" t="s">
        <v>537</v>
      </c>
      <c r="M1490" s="1" t="s">
        <v>6260</v>
      </c>
      <c r="N1490" s="1" t="s">
        <v>142</v>
      </c>
      <c r="O1490" s="1" t="s">
        <v>143</v>
      </c>
      <c r="P1490" s="2">
        <v>43776.5416666667</v>
      </c>
      <c r="Q1490" s="1" t="s">
        <v>373</v>
      </c>
      <c r="R1490" s="3">
        <v>43776.0</v>
      </c>
      <c r="S1490" s="1"/>
      <c r="T1490" s="1">
        <v>2102804.0</v>
      </c>
      <c r="U1490" s="1" t="s">
        <v>4959</v>
      </c>
      <c r="V1490" s="1" t="s">
        <v>540</v>
      </c>
      <c r="W1490" s="1" t="s">
        <v>127</v>
      </c>
      <c r="X1490" s="1"/>
      <c r="Y1490" s="1" t="str">
        <f>"02012002127202010"</f>
        <v>02012002127202010</v>
      </c>
      <c r="Z1490" s="1" t="s">
        <v>147</v>
      </c>
      <c r="AA1490" s="1" t="s">
        <v>6261</v>
      </c>
      <c r="AB1490" s="1" t="str">
        <f>"***356713**"</f>
        <v>***356713**</v>
      </c>
      <c r="AC1490" s="1"/>
      <c r="AD1490" s="1"/>
      <c r="AE1490" s="1"/>
      <c r="AF1490" s="1">
        <v>-47.34</v>
      </c>
      <c r="AG1490" s="1">
        <v>-7.297778</v>
      </c>
      <c r="AH1490" s="1" t="s">
        <v>6262</v>
      </c>
      <c r="AI1490" s="1"/>
      <c r="AJ1490" s="1" t="s">
        <v>537</v>
      </c>
      <c r="AK1490" s="1"/>
      <c r="AL1490" s="1" t="s">
        <v>79</v>
      </c>
      <c r="AM1490" s="1" t="s">
        <v>65</v>
      </c>
      <c r="AN1490" s="1" t="s">
        <v>4203</v>
      </c>
      <c r="AO1490" s="2">
        <v>44065.0</v>
      </c>
      <c r="AP1490" s="2">
        <v>44065.6253703704</v>
      </c>
      <c r="AQ1490" s="1" t="s">
        <v>80</v>
      </c>
      <c r="AR1490" s="1" t="s">
        <v>2065</v>
      </c>
      <c r="AS1490" s="1"/>
      <c r="AT1490" s="2">
        <v>44269.931099537</v>
      </c>
    </row>
    <row r="1491" ht="13.5" customHeight="1">
      <c r="A1491" s="1">
        <v>2034813.0</v>
      </c>
      <c r="B1491" s="1" t="s">
        <v>67</v>
      </c>
      <c r="C1491" s="1" t="s">
        <v>68</v>
      </c>
      <c r="D1491" s="1" t="s">
        <v>46</v>
      </c>
      <c r="E1491" s="1" t="s">
        <v>6263</v>
      </c>
      <c r="F1491" s="1"/>
      <c r="G1491" s="1" t="s">
        <v>70</v>
      </c>
      <c r="H1491" s="1" t="s">
        <v>93</v>
      </c>
      <c r="I1491" s="1">
        <v>5000.0</v>
      </c>
      <c r="J1491" s="1"/>
      <c r="K1491" s="1"/>
      <c r="L1491" s="1" t="s">
        <v>386</v>
      </c>
      <c r="M1491" s="1" t="s">
        <v>6264</v>
      </c>
      <c r="N1491" s="1" t="s">
        <v>142</v>
      </c>
      <c r="O1491" s="1" t="s">
        <v>143</v>
      </c>
      <c r="P1491" s="2">
        <v>43776.5</v>
      </c>
      <c r="Q1491" s="1" t="s">
        <v>373</v>
      </c>
      <c r="R1491" s="3">
        <v>43776.0</v>
      </c>
      <c r="S1491" s="1"/>
      <c r="T1491" s="1">
        <v>1702307.0</v>
      </c>
      <c r="U1491" s="1" t="s">
        <v>6265</v>
      </c>
      <c r="V1491" s="1" t="s">
        <v>2156</v>
      </c>
      <c r="W1491" s="1" t="s">
        <v>127</v>
      </c>
      <c r="X1491" s="1"/>
      <c r="Y1491" s="1" t="str">
        <f>"02029001477201938"</f>
        <v>02029001477201938</v>
      </c>
      <c r="Z1491" s="1" t="s">
        <v>147</v>
      </c>
      <c r="AA1491" s="1" t="s">
        <v>6266</v>
      </c>
      <c r="AB1491" s="1" t="str">
        <f>"***338631**"</f>
        <v>***338631**</v>
      </c>
      <c r="AC1491" s="1"/>
      <c r="AD1491" s="1"/>
      <c r="AE1491" s="1"/>
      <c r="AF1491" s="1">
        <v>-49.270554</v>
      </c>
      <c r="AG1491" s="1">
        <v>-7.806944</v>
      </c>
      <c r="AH1491" s="1" t="s">
        <v>6267</v>
      </c>
      <c r="AI1491" s="1"/>
      <c r="AJ1491" s="1" t="s">
        <v>386</v>
      </c>
      <c r="AK1491" s="1"/>
      <c r="AL1491" s="1" t="s">
        <v>79</v>
      </c>
      <c r="AM1491" s="1" t="s">
        <v>65</v>
      </c>
      <c r="AN1491" s="1" t="s">
        <v>391</v>
      </c>
      <c r="AO1491" s="2">
        <v>43892.0</v>
      </c>
      <c r="AP1491" s="2">
        <v>43892.4287384259</v>
      </c>
      <c r="AQ1491" s="1" t="s">
        <v>80</v>
      </c>
      <c r="AR1491" s="1" t="s">
        <v>656</v>
      </c>
      <c r="AS1491" s="1"/>
      <c r="AT1491" s="2">
        <v>44269.931099537</v>
      </c>
    </row>
    <row r="1492" ht="13.5" customHeight="1">
      <c r="A1492" s="1"/>
      <c r="B1492" s="1" t="s">
        <v>46</v>
      </c>
      <c r="C1492" s="1" t="s">
        <v>657</v>
      </c>
      <c r="D1492" s="1" t="s">
        <v>67</v>
      </c>
      <c r="E1492" s="1" t="s">
        <v>6268</v>
      </c>
      <c r="F1492" s="1"/>
      <c r="G1492" s="1"/>
      <c r="H1492" s="1" t="s">
        <v>93</v>
      </c>
      <c r="I1492" s="1">
        <v>11700.0</v>
      </c>
      <c r="J1492" s="1"/>
      <c r="K1492" s="1" t="s">
        <v>51</v>
      </c>
      <c r="L1492" s="1"/>
      <c r="M1492" s="1" t="s">
        <v>6269</v>
      </c>
      <c r="N1492" s="1" t="s">
        <v>53</v>
      </c>
      <c r="O1492" s="1" t="s">
        <v>54</v>
      </c>
      <c r="P1492" s="2">
        <v>43776.4933912037</v>
      </c>
      <c r="Q1492" s="1" t="s">
        <v>74</v>
      </c>
      <c r="R1492" s="1"/>
      <c r="S1492" s="1"/>
      <c r="T1492" s="1">
        <v>4208203.0</v>
      </c>
      <c r="U1492" s="1" t="s">
        <v>735</v>
      </c>
      <c r="V1492" s="1" t="s">
        <v>267</v>
      </c>
      <c r="W1492" s="1" t="s">
        <v>288</v>
      </c>
      <c r="X1492" s="1"/>
      <c r="Y1492" s="1"/>
      <c r="Z1492" s="1" t="s">
        <v>60</v>
      </c>
      <c r="AA1492" s="1" t="s">
        <v>5231</v>
      </c>
      <c r="AB1492" s="1" t="str">
        <f>"***378639**"</f>
        <v>***378639**</v>
      </c>
      <c r="AC1492" s="1"/>
      <c r="AD1492" s="1" t="s">
        <v>62</v>
      </c>
      <c r="AE1492" s="1"/>
      <c r="AF1492" s="1">
        <v>-48.671391</v>
      </c>
      <c r="AG1492" s="1">
        <v>-26.919443</v>
      </c>
      <c r="AH1492" s="1" t="s">
        <v>5732</v>
      </c>
      <c r="AI1492" s="1"/>
      <c r="AJ1492" s="1" t="s">
        <v>264</v>
      </c>
      <c r="AK1492" s="1"/>
      <c r="AL1492" s="1"/>
      <c r="AM1492" s="1" t="s">
        <v>65</v>
      </c>
      <c r="AN1492" s="1"/>
      <c r="AO1492" s="1"/>
      <c r="AP1492" s="2">
        <v>43776.5312615741</v>
      </c>
      <c r="AQ1492" s="1"/>
      <c r="AR1492" s="1" t="s">
        <v>3247</v>
      </c>
      <c r="AS1492" s="1"/>
      <c r="AT1492" s="2">
        <v>44269.931099537</v>
      </c>
    </row>
    <row r="1493" ht="13.5" customHeight="1">
      <c r="A1493" s="1"/>
      <c r="B1493" s="1" t="s">
        <v>46</v>
      </c>
      <c r="C1493" s="1" t="s">
        <v>47</v>
      </c>
      <c r="D1493" s="1"/>
      <c r="E1493" s="1" t="s">
        <v>6270</v>
      </c>
      <c r="F1493" s="1"/>
      <c r="G1493" s="1"/>
      <c r="H1493" s="1" t="s">
        <v>93</v>
      </c>
      <c r="I1493" s="1">
        <v>2500.0</v>
      </c>
      <c r="J1493" s="1"/>
      <c r="K1493" s="1"/>
      <c r="L1493" s="1"/>
      <c r="M1493" s="1" t="s">
        <v>6271</v>
      </c>
      <c r="N1493" s="1" t="s">
        <v>95</v>
      </c>
      <c r="O1493" s="1" t="s">
        <v>96</v>
      </c>
      <c r="P1493" s="2">
        <v>43776.4660763889</v>
      </c>
      <c r="Q1493" s="1" t="s">
        <v>74</v>
      </c>
      <c r="R1493" s="3">
        <v>43777.0</v>
      </c>
      <c r="S1493" s="1"/>
      <c r="T1493" s="1">
        <v>3201308.0</v>
      </c>
      <c r="U1493" s="1" t="s">
        <v>6272</v>
      </c>
      <c r="V1493" s="1" t="s">
        <v>403</v>
      </c>
      <c r="W1493" s="1" t="s">
        <v>59</v>
      </c>
      <c r="X1493" s="1"/>
      <c r="Y1493" s="1"/>
      <c r="Z1493" s="1" t="s">
        <v>98</v>
      </c>
      <c r="AA1493" s="1" t="s">
        <v>6273</v>
      </c>
      <c r="AB1493" s="1" t="str">
        <f>"***209796**"</f>
        <v>***209796**</v>
      </c>
      <c r="AC1493" s="1"/>
      <c r="AD1493" s="1" t="s">
        <v>62</v>
      </c>
      <c r="AE1493" s="1"/>
      <c r="AF1493" s="1">
        <v>-40.305553</v>
      </c>
      <c r="AG1493" s="1">
        <v>-20.315832</v>
      </c>
      <c r="AH1493" s="1" t="s">
        <v>6274</v>
      </c>
      <c r="AI1493" s="1"/>
      <c r="AJ1493" s="1" t="s">
        <v>406</v>
      </c>
      <c r="AK1493" s="1"/>
      <c r="AL1493" s="1"/>
      <c r="AM1493" s="1" t="s">
        <v>65</v>
      </c>
      <c r="AN1493" s="1" t="s">
        <v>1599</v>
      </c>
      <c r="AO1493" s="1"/>
      <c r="AP1493" s="2">
        <v>43776.5165972222</v>
      </c>
      <c r="AQ1493" s="1"/>
      <c r="AR1493" s="1" t="s">
        <v>6275</v>
      </c>
      <c r="AS1493" s="1"/>
      <c r="AT1493" s="2">
        <v>44269.931099537</v>
      </c>
    </row>
    <row r="1494" ht="13.5" customHeight="1">
      <c r="A1494" s="1">
        <v>2034811.0</v>
      </c>
      <c r="B1494" s="1" t="s">
        <v>67</v>
      </c>
      <c r="C1494" s="1" t="s">
        <v>68</v>
      </c>
      <c r="D1494" s="1" t="s">
        <v>46</v>
      </c>
      <c r="E1494" s="1" t="s">
        <v>6276</v>
      </c>
      <c r="F1494" s="1"/>
      <c r="G1494" s="1" t="s">
        <v>70</v>
      </c>
      <c r="H1494" s="1" t="s">
        <v>93</v>
      </c>
      <c r="I1494" s="1">
        <v>5000.0</v>
      </c>
      <c r="J1494" s="1"/>
      <c r="K1494" s="1"/>
      <c r="L1494" s="1" t="s">
        <v>386</v>
      </c>
      <c r="M1494" s="1" t="s">
        <v>6277</v>
      </c>
      <c r="N1494" s="1" t="s">
        <v>142</v>
      </c>
      <c r="O1494" s="1" t="s">
        <v>143</v>
      </c>
      <c r="P1494" s="2">
        <v>43776.4583333333</v>
      </c>
      <c r="Q1494" s="1" t="s">
        <v>74</v>
      </c>
      <c r="R1494" s="3">
        <v>43775.0</v>
      </c>
      <c r="S1494" s="1"/>
      <c r="T1494" s="1">
        <v>1702307.0</v>
      </c>
      <c r="U1494" s="1" t="s">
        <v>6265</v>
      </c>
      <c r="V1494" s="1" t="s">
        <v>2156</v>
      </c>
      <c r="W1494" s="1" t="s">
        <v>59</v>
      </c>
      <c r="X1494" s="1"/>
      <c r="Y1494" s="1" t="str">
        <f>"02029001467201901"</f>
        <v>02029001467201901</v>
      </c>
      <c r="Z1494" s="1" t="s">
        <v>147</v>
      </c>
      <c r="AA1494" s="1" t="s">
        <v>6278</v>
      </c>
      <c r="AB1494" s="1" t="str">
        <f>"***490366**"</f>
        <v>***490366**</v>
      </c>
      <c r="AC1494" s="1"/>
      <c r="AD1494" s="1"/>
      <c r="AE1494" s="1"/>
      <c r="AF1494" s="1">
        <v>-49.264999</v>
      </c>
      <c r="AG1494" s="1">
        <v>-7.711667</v>
      </c>
      <c r="AH1494" s="1" t="s">
        <v>6267</v>
      </c>
      <c r="AI1494" s="1"/>
      <c r="AJ1494" s="1" t="s">
        <v>386</v>
      </c>
      <c r="AK1494" s="1"/>
      <c r="AL1494" s="1" t="s">
        <v>79</v>
      </c>
      <c r="AM1494" s="1" t="s">
        <v>65</v>
      </c>
      <c r="AN1494" s="1" t="s">
        <v>391</v>
      </c>
      <c r="AO1494" s="2">
        <v>43892.0</v>
      </c>
      <c r="AP1494" s="2">
        <v>43892.4285185185</v>
      </c>
      <c r="AQ1494" s="1" t="s">
        <v>80</v>
      </c>
      <c r="AR1494" s="1" t="s">
        <v>3494</v>
      </c>
      <c r="AS1494" s="1"/>
      <c r="AT1494" s="2">
        <v>44269.931099537</v>
      </c>
    </row>
    <row r="1495" ht="13.5" customHeight="1">
      <c r="A1495" s="1">
        <v>2034812.0</v>
      </c>
      <c r="B1495" s="1" t="s">
        <v>67</v>
      </c>
      <c r="C1495" s="1" t="s">
        <v>68</v>
      </c>
      <c r="D1495" s="1" t="s">
        <v>46</v>
      </c>
      <c r="E1495" s="1" t="s">
        <v>6279</v>
      </c>
      <c r="F1495" s="1"/>
      <c r="G1495" s="1" t="s">
        <v>70</v>
      </c>
      <c r="H1495" s="1" t="s">
        <v>93</v>
      </c>
      <c r="I1495" s="1">
        <v>5000.0</v>
      </c>
      <c r="J1495" s="1"/>
      <c r="K1495" s="1"/>
      <c r="L1495" s="1" t="s">
        <v>386</v>
      </c>
      <c r="M1495" s="1" t="s">
        <v>6280</v>
      </c>
      <c r="N1495" s="1" t="s">
        <v>142</v>
      </c>
      <c r="O1495" s="1" t="s">
        <v>143</v>
      </c>
      <c r="P1495" s="2">
        <v>43776.4583333333</v>
      </c>
      <c r="Q1495" s="1" t="s">
        <v>373</v>
      </c>
      <c r="R1495" s="3">
        <v>43776.0</v>
      </c>
      <c r="S1495" s="1"/>
      <c r="T1495" s="1">
        <v>1702307.0</v>
      </c>
      <c r="U1495" s="1" t="s">
        <v>6265</v>
      </c>
      <c r="V1495" s="1" t="s">
        <v>2156</v>
      </c>
      <c r="W1495" s="1" t="s">
        <v>127</v>
      </c>
      <c r="X1495" s="1"/>
      <c r="Y1495" s="1" t="str">
        <f>"02029001478201982"</f>
        <v>02029001478201982</v>
      </c>
      <c r="Z1495" s="1" t="s">
        <v>147</v>
      </c>
      <c r="AA1495" s="1" t="s">
        <v>6281</v>
      </c>
      <c r="AB1495" s="1" t="str">
        <f>"***633671**"</f>
        <v>***633671**</v>
      </c>
      <c r="AC1495" s="1"/>
      <c r="AD1495" s="1"/>
      <c r="AE1495" s="1"/>
      <c r="AF1495" s="1">
        <v>-49.387501</v>
      </c>
      <c r="AG1495" s="1">
        <v>-7.8125</v>
      </c>
      <c r="AH1495" s="1" t="s">
        <v>6267</v>
      </c>
      <c r="AI1495" s="1"/>
      <c r="AJ1495" s="1" t="s">
        <v>386</v>
      </c>
      <c r="AK1495" s="1"/>
      <c r="AL1495" s="1" t="s">
        <v>79</v>
      </c>
      <c r="AM1495" s="1" t="s">
        <v>65</v>
      </c>
      <c r="AN1495" s="1" t="s">
        <v>391</v>
      </c>
      <c r="AO1495" s="2">
        <v>43892.0</v>
      </c>
      <c r="AP1495" s="2">
        <v>43892.4286342593</v>
      </c>
      <c r="AQ1495" s="1" t="s">
        <v>80</v>
      </c>
      <c r="AR1495" s="1" t="s">
        <v>656</v>
      </c>
      <c r="AS1495" s="1"/>
      <c r="AT1495" s="2">
        <v>44269.931099537</v>
      </c>
    </row>
    <row r="1496" ht="13.5" customHeight="1">
      <c r="A1496" s="1">
        <v>2040158.0</v>
      </c>
      <c r="B1496" s="1" t="s">
        <v>67</v>
      </c>
      <c r="C1496" s="1" t="s">
        <v>68</v>
      </c>
      <c r="D1496" s="1" t="s">
        <v>46</v>
      </c>
      <c r="E1496" s="1" t="s">
        <v>6282</v>
      </c>
      <c r="F1496" s="1"/>
      <c r="G1496" s="1" t="s">
        <v>70</v>
      </c>
      <c r="H1496" s="1" t="s">
        <v>93</v>
      </c>
      <c r="I1496" s="1">
        <v>7620.3</v>
      </c>
      <c r="J1496" s="1"/>
      <c r="K1496" s="1"/>
      <c r="L1496" s="1" t="s">
        <v>1172</v>
      </c>
      <c r="M1496" s="1" t="s">
        <v>6283</v>
      </c>
      <c r="N1496" s="1" t="s">
        <v>142</v>
      </c>
      <c r="O1496" s="1" t="s">
        <v>143</v>
      </c>
      <c r="P1496" s="2">
        <v>43776.4583333333</v>
      </c>
      <c r="Q1496" s="1" t="s">
        <v>74</v>
      </c>
      <c r="R1496" s="3">
        <v>43775.0</v>
      </c>
      <c r="S1496" s="1"/>
      <c r="T1496" s="1">
        <v>1504208.0</v>
      </c>
      <c r="U1496" s="1" t="s">
        <v>1940</v>
      </c>
      <c r="V1496" s="1" t="s">
        <v>193</v>
      </c>
      <c r="W1496" s="1" t="s">
        <v>177</v>
      </c>
      <c r="X1496" s="1"/>
      <c r="Y1496" s="1"/>
      <c r="Z1496" s="1" t="s">
        <v>147</v>
      </c>
      <c r="AA1496" s="1" t="s">
        <v>6284</v>
      </c>
      <c r="AB1496" s="1" t="str">
        <f>"***855724**"</f>
        <v>***855724**</v>
      </c>
      <c r="AC1496" s="1"/>
      <c r="AD1496" s="1"/>
      <c r="AE1496" s="1"/>
      <c r="AF1496" s="1">
        <v>-49.114166</v>
      </c>
      <c r="AG1496" s="1">
        <v>-5.367778</v>
      </c>
      <c r="AH1496" s="1" t="s">
        <v>6285</v>
      </c>
      <c r="AI1496" s="1"/>
      <c r="AJ1496" s="1" t="s">
        <v>1172</v>
      </c>
      <c r="AK1496" s="1"/>
      <c r="AL1496" s="1" t="s">
        <v>79</v>
      </c>
      <c r="AM1496" s="1" t="s">
        <v>65</v>
      </c>
      <c r="AN1496" s="1" t="s">
        <v>1943</v>
      </c>
      <c r="AO1496" s="2">
        <v>44113.0</v>
      </c>
      <c r="AP1496" s="2">
        <v>44113.673599537</v>
      </c>
      <c r="AQ1496" s="1" t="s">
        <v>80</v>
      </c>
      <c r="AR1496" s="1" t="s">
        <v>181</v>
      </c>
      <c r="AS1496" s="1"/>
      <c r="AT1496" s="2">
        <v>44269.931099537</v>
      </c>
    </row>
    <row r="1497" ht="13.5" customHeight="1">
      <c r="A1497" s="1">
        <v>2034808.0</v>
      </c>
      <c r="B1497" s="1" t="s">
        <v>67</v>
      </c>
      <c r="C1497" s="1" t="s">
        <v>68</v>
      </c>
      <c r="D1497" s="1" t="s">
        <v>46</v>
      </c>
      <c r="E1497" s="1" t="s">
        <v>6286</v>
      </c>
      <c r="F1497" s="1"/>
      <c r="G1497" s="1" t="s">
        <v>70</v>
      </c>
      <c r="H1497" s="1" t="s">
        <v>93</v>
      </c>
      <c r="I1497" s="1">
        <v>5000.0</v>
      </c>
      <c r="J1497" s="1"/>
      <c r="K1497" s="1"/>
      <c r="L1497" s="1" t="s">
        <v>386</v>
      </c>
      <c r="M1497" s="1" t="s">
        <v>6287</v>
      </c>
      <c r="N1497" s="1" t="s">
        <v>142</v>
      </c>
      <c r="O1497" s="1" t="s">
        <v>143</v>
      </c>
      <c r="P1497" s="2">
        <v>43776.4166666667</v>
      </c>
      <c r="Q1497" s="1" t="s">
        <v>373</v>
      </c>
      <c r="R1497" s="3">
        <v>43776.0</v>
      </c>
      <c r="S1497" s="1"/>
      <c r="T1497" s="1">
        <v>1702307.0</v>
      </c>
      <c r="U1497" s="1" t="s">
        <v>6265</v>
      </c>
      <c r="V1497" s="1" t="s">
        <v>2156</v>
      </c>
      <c r="W1497" s="1" t="s">
        <v>127</v>
      </c>
      <c r="X1497" s="1"/>
      <c r="Y1497" s="1" t="str">
        <f>"02029001462201970"</f>
        <v>02029001462201970</v>
      </c>
      <c r="Z1497" s="1" t="s">
        <v>147</v>
      </c>
      <c r="AA1497" s="1" t="s">
        <v>6288</v>
      </c>
      <c r="AB1497" s="1" t="str">
        <f>"***588611**"</f>
        <v>***588611**</v>
      </c>
      <c r="AC1497" s="1"/>
      <c r="AD1497" s="1"/>
      <c r="AE1497" s="1"/>
      <c r="AF1497" s="1">
        <v>-49.263611</v>
      </c>
      <c r="AG1497" s="1">
        <v>-7.711667</v>
      </c>
      <c r="AH1497" s="1" t="s">
        <v>6267</v>
      </c>
      <c r="AI1497" s="1"/>
      <c r="AJ1497" s="1" t="s">
        <v>386</v>
      </c>
      <c r="AK1497" s="1"/>
      <c r="AL1497" s="1" t="s">
        <v>79</v>
      </c>
      <c r="AM1497" s="1" t="s">
        <v>65</v>
      </c>
      <c r="AN1497" s="1" t="s">
        <v>391</v>
      </c>
      <c r="AO1497" s="2">
        <v>43892.0</v>
      </c>
      <c r="AP1497" s="2">
        <v>43892.4280439815</v>
      </c>
      <c r="AQ1497" s="1" t="s">
        <v>80</v>
      </c>
      <c r="AR1497" s="1" t="s">
        <v>3494</v>
      </c>
      <c r="AS1497" s="1"/>
      <c r="AT1497" s="2">
        <v>44269.931099537</v>
      </c>
    </row>
    <row r="1498" ht="13.5" customHeight="1">
      <c r="A1498" s="1">
        <v>2034810.0</v>
      </c>
      <c r="B1498" s="1" t="s">
        <v>67</v>
      </c>
      <c r="C1498" s="1" t="s">
        <v>68</v>
      </c>
      <c r="D1498" s="1" t="s">
        <v>46</v>
      </c>
      <c r="E1498" s="1" t="s">
        <v>6289</v>
      </c>
      <c r="F1498" s="1"/>
      <c r="G1498" s="1" t="s">
        <v>70</v>
      </c>
      <c r="H1498" s="1" t="s">
        <v>93</v>
      </c>
      <c r="I1498" s="1">
        <v>5000.0</v>
      </c>
      <c r="J1498" s="1"/>
      <c r="K1498" s="1"/>
      <c r="L1498" s="1" t="s">
        <v>386</v>
      </c>
      <c r="M1498" s="1" t="s">
        <v>6290</v>
      </c>
      <c r="N1498" s="1" t="s">
        <v>142</v>
      </c>
      <c r="O1498" s="1" t="s">
        <v>143</v>
      </c>
      <c r="P1498" s="2">
        <v>43776.4166666667</v>
      </c>
      <c r="Q1498" s="1" t="s">
        <v>373</v>
      </c>
      <c r="R1498" s="3">
        <v>43776.0</v>
      </c>
      <c r="S1498" s="1"/>
      <c r="T1498" s="1">
        <v>1702307.0</v>
      </c>
      <c r="U1498" s="1" t="s">
        <v>6265</v>
      </c>
      <c r="V1498" s="1" t="s">
        <v>2156</v>
      </c>
      <c r="W1498" s="1" t="s">
        <v>127</v>
      </c>
      <c r="X1498" s="1"/>
      <c r="Y1498" s="1" t="str">
        <f>"02029001479201927"</f>
        <v>02029001479201927</v>
      </c>
      <c r="Z1498" s="1" t="s">
        <v>147</v>
      </c>
      <c r="AA1498" s="1" t="s">
        <v>6291</v>
      </c>
      <c r="AB1498" s="1" t="str">
        <f>"***063681**"</f>
        <v>***063681**</v>
      </c>
      <c r="AC1498" s="1"/>
      <c r="AD1498" s="1"/>
      <c r="AE1498" s="1"/>
      <c r="AF1498" s="1">
        <v>-49.387779</v>
      </c>
      <c r="AG1498" s="1">
        <v>-4.8125</v>
      </c>
      <c r="AH1498" s="1" t="s">
        <v>6267</v>
      </c>
      <c r="AI1498" s="1"/>
      <c r="AJ1498" s="1" t="s">
        <v>386</v>
      </c>
      <c r="AK1498" s="1"/>
      <c r="AL1498" s="1" t="s">
        <v>79</v>
      </c>
      <c r="AM1498" s="1" t="s">
        <v>65</v>
      </c>
      <c r="AN1498" s="1" t="s">
        <v>391</v>
      </c>
      <c r="AO1498" s="2">
        <v>43892.0</v>
      </c>
      <c r="AP1498" s="2">
        <v>43892.4283101852</v>
      </c>
      <c r="AQ1498" s="1" t="s">
        <v>80</v>
      </c>
      <c r="AR1498" s="1" t="s">
        <v>656</v>
      </c>
      <c r="AS1498" s="1"/>
      <c r="AT1498" s="2">
        <v>44269.931099537</v>
      </c>
    </row>
    <row r="1499" ht="13.5" customHeight="1">
      <c r="A1499" s="1">
        <v>2035885.0</v>
      </c>
      <c r="B1499" s="1" t="s">
        <v>67</v>
      </c>
      <c r="C1499" s="1" t="s">
        <v>68</v>
      </c>
      <c r="D1499" s="1" t="s">
        <v>46</v>
      </c>
      <c r="E1499" s="1" t="s">
        <v>6292</v>
      </c>
      <c r="F1499" s="1"/>
      <c r="G1499" s="1" t="s">
        <v>70</v>
      </c>
      <c r="H1499" s="1" t="s">
        <v>93</v>
      </c>
      <c r="I1499" s="1">
        <v>517690.0</v>
      </c>
      <c r="J1499" s="1"/>
      <c r="K1499" s="1"/>
      <c r="L1499" s="1" t="s">
        <v>172</v>
      </c>
      <c r="M1499" s="1" t="s">
        <v>6293</v>
      </c>
      <c r="N1499" s="1" t="s">
        <v>142</v>
      </c>
      <c r="O1499" s="1" t="s">
        <v>143</v>
      </c>
      <c r="P1499" s="2">
        <v>43776.4166666667</v>
      </c>
      <c r="Q1499" s="1" t="s">
        <v>74</v>
      </c>
      <c r="R1499" s="3">
        <v>43775.0</v>
      </c>
      <c r="S1499" s="1"/>
      <c r="T1499" s="1">
        <v>1302405.0</v>
      </c>
      <c r="U1499" s="1" t="s">
        <v>2258</v>
      </c>
      <c r="V1499" s="1" t="s">
        <v>486</v>
      </c>
      <c r="W1499" s="1" t="s">
        <v>177</v>
      </c>
      <c r="X1499" s="1"/>
      <c r="Y1499" s="1" t="str">
        <f>"02001009146202098"</f>
        <v>02001009146202098</v>
      </c>
      <c r="Z1499" s="1" t="s">
        <v>147</v>
      </c>
      <c r="AA1499" s="1" t="s">
        <v>6294</v>
      </c>
      <c r="AB1499" s="1" t="str">
        <f>"***293012**"</f>
        <v>***293012**</v>
      </c>
      <c r="AC1499" s="1"/>
      <c r="AD1499" s="1"/>
      <c r="AE1499" s="1"/>
      <c r="AF1499" s="1">
        <v>-47.861111</v>
      </c>
      <c r="AG1499" s="1">
        <v>-15.766389</v>
      </c>
      <c r="AH1499" s="1" t="s">
        <v>6130</v>
      </c>
      <c r="AI1499" s="1"/>
      <c r="AJ1499" s="1" t="s">
        <v>172</v>
      </c>
      <c r="AK1499" s="1"/>
      <c r="AL1499" s="1" t="s">
        <v>79</v>
      </c>
      <c r="AM1499" s="1" t="s">
        <v>65</v>
      </c>
      <c r="AN1499" s="1" t="s">
        <v>2164</v>
      </c>
      <c r="AO1499" s="2">
        <v>43921.0</v>
      </c>
      <c r="AP1499" s="2">
        <v>43921.729375</v>
      </c>
      <c r="AQ1499" s="1" t="s">
        <v>80</v>
      </c>
      <c r="AR1499" s="1" t="s">
        <v>650</v>
      </c>
      <c r="AS1499" s="1"/>
      <c r="AT1499" s="2">
        <v>44269.931099537</v>
      </c>
    </row>
    <row r="1500" ht="13.5" customHeight="1">
      <c r="A1500" s="1">
        <v>2039220.0</v>
      </c>
      <c r="B1500" s="1" t="s">
        <v>67</v>
      </c>
      <c r="C1500" s="1" t="s">
        <v>68</v>
      </c>
      <c r="D1500" s="1" t="s">
        <v>46</v>
      </c>
      <c r="E1500" s="1" t="s">
        <v>6295</v>
      </c>
      <c r="F1500" s="1"/>
      <c r="G1500" s="1" t="s">
        <v>70</v>
      </c>
      <c r="H1500" s="1" t="s">
        <v>50</v>
      </c>
      <c r="I1500" s="1">
        <v>500.0</v>
      </c>
      <c r="J1500" s="1"/>
      <c r="K1500" s="1"/>
      <c r="L1500" s="1" t="s">
        <v>1040</v>
      </c>
      <c r="M1500" s="1" t="s">
        <v>1409</v>
      </c>
      <c r="N1500" s="1" t="s">
        <v>72</v>
      </c>
      <c r="O1500" s="1" t="s">
        <v>213</v>
      </c>
      <c r="P1500" s="2">
        <v>43776.4166666667</v>
      </c>
      <c r="Q1500" s="1" t="s">
        <v>55</v>
      </c>
      <c r="R1500" s="1"/>
      <c r="S1500" s="1"/>
      <c r="T1500" s="1">
        <v>2615607.0</v>
      </c>
      <c r="U1500" s="1" t="s">
        <v>5422</v>
      </c>
      <c r="V1500" s="1" t="s">
        <v>1037</v>
      </c>
      <c r="W1500" s="1" t="s">
        <v>113</v>
      </c>
      <c r="X1500" s="1"/>
      <c r="Y1500" s="1" t="str">
        <f>"02019001803202060"</f>
        <v>02019001803202060</v>
      </c>
      <c r="Z1500" s="1" t="s">
        <v>215</v>
      </c>
      <c r="AA1500" s="1" t="s">
        <v>6296</v>
      </c>
      <c r="AB1500" s="1" t="str">
        <f>"11502255000179"</f>
        <v>11502255000179</v>
      </c>
      <c r="AC1500" s="1"/>
      <c r="AD1500" s="1"/>
      <c r="AE1500" s="1"/>
      <c r="AF1500" s="1">
        <v>-40.254917</v>
      </c>
      <c r="AG1500" s="1">
        <v>-7.740945</v>
      </c>
      <c r="AH1500" s="1" t="s">
        <v>6297</v>
      </c>
      <c r="AI1500" s="1"/>
      <c r="AJ1500" s="1" t="s">
        <v>1040</v>
      </c>
      <c r="AK1500" s="1"/>
      <c r="AL1500" s="1" t="s">
        <v>79</v>
      </c>
      <c r="AM1500" s="1" t="s">
        <v>65</v>
      </c>
      <c r="AN1500" s="1" t="s">
        <v>1279</v>
      </c>
      <c r="AO1500" s="2">
        <v>44056.0</v>
      </c>
      <c r="AP1500" s="2">
        <v>44056.5124537037</v>
      </c>
      <c r="AQ1500" s="1" t="s">
        <v>80</v>
      </c>
      <c r="AR1500" s="1" t="s">
        <v>909</v>
      </c>
      <c r="AS1500" s="1"/>
      <c r="AT1500" s="2">
        <v>44269.931099537</v>
      </c>
    </row>
    <row r="1501" ht="13.5" customHeight="1">
      <c r="A1501" s="1">
        <v>2042695.0</v>
      </c>
      <c r="B1501" s="1" t="s">
        <v>67</v>
      </c>
      <c r="C1501" s="1" t="s">
        <v>68</v>
      </c>
      <c r="D1501" s="1" t="s">
        <v>46</v>
      </c>
      <c r="E1501" s="1" t="s">
        <v>6298</v>
      </c>
      <c r="F1501" s="1"/>
      <c r="G1501" s="1" t="s">
        <v>70</v>
      </c>
      <c r="H1501" s="1" t="s">
        <v>50</v>
      </c>
      <c r="I1501" s="1">
        <v>500.0</v>
      </c>
      <c r="J1501" s="1"/>
      <c r="K1501" s="1"/>
      <c r="L1501" s="1" t="s">
        <v>1040</v>
      </c>
      <c r="M1501" s="1" t="s">
        <v>6299</v>
      </c>
      <c r="N1501" s="1" t="s">
        <v>72</v>
      </c>
      <c r="O1501" s="1" t="s">
        <v>213</v>
      </c>
      <c r="P1501" s="2">
        <v>43776.4166666667</v>
      </c>
      <c r="Q1501" s="1" t="s">
        <v>373</v>
      </c>
      <c r="R1501" s="3">
        <v>43776.0</v>
      </c>
      <c r="S1501" s="1"/>
      <c r="T1501" s="1">
        <v>2615607.0</v>
      </c>
      <c r="U1501" s="1" t="s">
        <v>5422</v>
      </c>
      <c r="V1501" s="1" t="s">
        <v>1037</v>
      </c>
      <c r="W1501" s="1" t="s">
        <v>113</v>
      </c>
      <c r="X1501" s="1"/>
      <c r="Y1501" s="1" t="str">
        <f>"02019000255202051"</f>
        <v>02019000255202051</v>
      </c>
      <c r="Z1501" s="1" t="s">
        <v>215</v>
      </c>
      <c r="AA1501" s="1" t="s">
        <v>6300</v>
      </c>
      <c r="AB1501" s="1" t="str">
        <f>"***108234**"</f>
        <v>***108234**</v>
      </c>
      <c r="AC1501" s="1"/>
      <c r="AD1501" s="1"/>
      <c r="AE1501" s="1"/>
      <c r="AF1501" s="1">
        <v>-40.248055</v>
      </c>
      <c r="AG1501" s="1">
        <v>-7.727778</v>
      </c>
      <c r="AH1501" s="1" t="s">
        <v>6301</v>
      </c>
      <c r="AI1501" s="1"/>
      <c r="AJ1501" s="1" t="s">
        <v>1040</v>
      </c>
      <c r="AK1501" s="1"/>
      <c r="AL1501" s="1" t="s">
        <v>79</v>
      </c>
      <c r="AM1501" s="1" t="s">
        <v>65</v>
      </c>
      <c r="AN1501" s="1" t="s">
        <v>1279</v>
      </c>
      <c r="AO1501" s="2">
        <v>44215.0</v>
      </c>
      <c r="AP1501" s="2">
        <v>44215.7410069444</v>
      </c>
      <c r="AQ1501" s="1" t="s">
        <v>80</v>
      </c>
      <c r="AR1501" s="1" t="s">
        <v>909</v>
      </c>
      <c r="AS1501" s="1"/>
      <c r="AT1501" s="2">
        <v>44269.931099537</v>
      </c>
    </row>
    <row r="1502" ht="13.5" customHeight="1">
      <c r="A1502" s="1">
        <v>2034806.0</v>
      </c>
      <c r="B1502" s="1" t="s">
        <v>67</v>
      </c>
      <c r="C1502" s="1" t="s">
        <v>68</v>
      </c>
      <c r="D1502" s="1" t="s">
        <v>46</v>
      </c>
      <c r="E1502" s="1" t="s">
        <v>6302</v>
      </c>
      <c r="F1502" s="1"/>
      <c r="G1502" s="1" t="s">
        <v>70</v>
      </c>
      <c r="H1502" s="1" t="s">
        <v>93</v>
      </c>
      <c r="I1502" s="1">
        <v>5000.0</v>
      </c>
      <c r="J1502" s="1"/>
      <c r="K1502" s="1"/>
      <c r="L1502" s="1" t="s">
        <v>386</v>
      </c>
      <c r="M1502" s="1" t="s">
        <v>6303</v>
      </c>
      <c r="N1502" s="1" t="s">
        <v>142</v>
      </c>
      <c r="O1502" s="1" t="s">
        <v>143</v>
      </c>
      <c r="P1502" s="2">
        <v>43776.375</v>
      </c>
      <c r="Q1502" s="1" t="s">
        <v>373</v>
      </c>
      <c r="R1502" s="3">
        <v>43776.0</v>
      </c>
      <c r="S1502" s="1"/>
      <c r="T1502" s="1">
        <v>1702307.0</v>
      </c>
      <c r="U1502" s="1" t="s">
        <v>6265</v>
      </c>
      <c r="V1502" s="1" t="s">
        <v>2156</v>
      </c>
      <c r="W1502" s="1" t="s">
        <v>127</v>
      </c>
      <c r="X1502" s="1"/>
      <c r="Y1502" s="1" t="str">
        <f>"02029001465201911"</f>
        <v>02029001465201911</v>
      </c>
      <c r="Z1502" s="1" t="s">
        <v>147</v>
      </c>
      <c r="AA1502" s="1" t="s">
        <v>6304</v>
      </c>
      <c r="AB1502" s="1" t="str">
        <f>"***267501**"</f>
        <v>***267501**</v>
      </c>
      <c r="AC1502" s="1"/>
      <c r="AD1502" s="1"/>
      <c r="AE1502" s="1"/>
      <c r="AF1502" s="1">
        <v>-49.263889</v>
      </c>
      <c r="AG1502" s="1">
        <v>-7.7125</v>
      </c>
      <c r="AH1502" s="1" t="s">
        <v>6267</v>
      </c>
      <c r="AI1502" s="1"/>
      <c r="AJ1502" s="1" t="s">
        <v>386</v>
      </c>
      <c r="AK1502" s="1"/>
      <c r="AL1502" s="1" t="s">
        <v>79</v>
      </c>
      <c r="AM1502" s="1" t="s">
        <v>65</v>
      </c>
      <c r="AN1502" s="1" t="s">
        <v>391</v>
      </c>
      <c r="AO1502" s="2">
        <v>43892.0</v>
      </c>
      <c r="AP1502" s="2">
        <v>43892.4277314815</v>
      </c>
      <c r="AQ1502" s="1" t="s">
        <v>80</v>
      </c>
      <c r="AR1502" s="1" t="s">
        <v>3494</v>
      </c>
      <c r="AS1502" s="1"/>
      <c r="AT1502" s="2">
        <v>44269.931099537</v>
      </c>
    </row>
    <row r="1503" ht="13.5" customHeight="1">
      <c r="A1503" s="1">
        <v>2034807.0</v>
      </c>
      <c r="B1503" s="1" t="s">
        <v>67</v>
      </c>
      <c r="C1503" s="1" t="s">
        <v>68</v>
      </c>
      <c r="D1503" s="1" t="s">
        <v>46</v>
      </c>
      <c r="E1503" s="1" t="s">
        <v>6305</v>
      </c>
      <c r="F1503" s="1"/>
      <c r="G1503" s="1" t="s">
        <v>70</v>
      </c>
      <c r="H1503" s="1" t="s">
        <v>93</v>
      </c>
      <c r="I1503" s="1">
        <v>5000.0</v>
      </c>
      <c r="J1503" s="1"/>
      <c r="K1503" s="1"/>
      <c r="L1503" s="1" t="s">
        <v>386</v>
      </c>
      <c r="M1503" s="1" t="s">
        <v>6306</v>
      </c>
      <c r="N1503" s="1" t="s">
        <v>142</v>
      </c>
      <c r="O1503" s="1" t="s">
        <v>143</v>
      </c>
      <c r="P1503" s="2">
        <v>43776.375</v>
      </c>
      <c r="Q1503" s="1" t="s">
        <v>373</v>
      </c>
      <c r="R1503" s="3">
        <v>43776.0</v>
      </c>
      <c r="S1503" s="1"/>
      <c r="T1503" s="1">
        <v>1702307.0</v>
      </c>
      <c r="U1503" s="1" t="s">
        <v>6265</v>
      </c>
      <c r="V1503" s="1" t="s">
        <v>2156</v>
      </c>
      <c r="W1503" s="1" t="s">
        <v>127</v>
      </c>
      <c r="X1503" s="1"/>
      <c r="Y1503" s="1" t="str">
        <f>"02029001464201969"</f>
        <v>02029001464201969</v>
      </c>
      <c r="Z1503" s="1" t="s">
        <v>147</v>
      </c>
      <c r="AA1503" s="1" t="s">
        <v>6307</v>
      </c>
      <c r="AB1503" s="1" t="str">
        <f>"***133808**"</f>
        <v>***133808**</v>
      </c>
      <c r="AC1503" s="1"/>
      <c r="AD1503" s="1"/>
      <c r="AE1503" s="1"/>
      <c r="AF1503" s="1">
        <v>-49.263889</v>
      </c>
      <c r="AG1503" s="1">
        <v>-7.712222</v>
      </c>
      <c r="AH1503" s="1" t="s">
        <v>6267</v>
      </c>
      <c r="AI1503" s="1"/>
      <c r="AJ1503" s="1" t="s">
        <v>386</v>
      </c>
      <c r="AK1503" s="1"/>
      <c r="AL1503" s="1" t="s">
        <v>79</v>
      </c>
      <c r="AM1503" s="1" t="s">
        <v>65</v>
      </c>
      <c r="AN1503" s="1" t="s">
        <v>391</v>
      </c>
      <c r="AO1503" s="2">
        <v>43892.0</v>
      </c>
      <c r="AP1503" s="2">
        <v>43892.4279050926</v>
      </c>
      <c r="AQ1503" s="1" t="s">
        <v>80</v>
      </c>
      <c r="AR1503" s="1" t="s">
        <v>3494</v>
      </c>
      <c r="AS1503" s="1"/>
      <c r="AT1503" s="2">
        <v>44269.931099537</v>
      </c>
    </row>
    <row r="1504" ht="13.5" customHeight="1">
      <c r="A1504" s="1">
        <v>2034805.0</v>
      </c>
      <c r="B1504" s="1" t="s">
        <v>67</v>
      </c>
      <c r="C1504" s="1" t="s">
        <v>68</v>
      </c>
      <c r="D1504" s="1" t="s">
        <v>46</v>
      </c>
      <c r="E1504" s="1" t="s">
        <v>6308</v>
      </c>
      <c r="F1504" s="1"/>
      <c r="G1504" s="1" t="s">
        <v>70</v>
      </c>
      <c r="H1504" s="1" t="s">
        <v>93</v>
      </c>
      <c r="I1504" s="1">
        <v>5000.0</v>
      </c>
      <c r="J1504" s="1"/>
      <c r="K1504" s="1"/>
      <c r="L1504" s="1" t="s">
        <v>386</v>
      </c>
      <c r="M1504" s="1" t="s">
        <v>6309</v>
      </c>
      <c r="N1504" s="1" t="s">
        <v>142</v>
      </c>
      <c r="O1504" s="1" t="s">
        <v>143</v>
      </c>
      <c r="P1504" s="2">
        <v>43776.3333333333</v>
      </c>
      <c r="Q1504" s="1" t="s">
        <v>373</v>
      </c>
      <c r="R1504" s="3">
        <v>43776.0</v>
      </c>
      <c r="S1504" s="1"/>
      <c r="T1504" s="1">
        <v>1702307.0</v>
      </c>
      <c r="U1504" s="1" t="s">
        <v>6265</v>
      </c>
      <c r="V1504" s="1" t="s">
        <v>2156</v>
      </c>
      <c r="W1504" s="1" t="s">
        <v>127</v>
      </c>
      <c r="X1504" s="1"/>
      <c r="Y1504" s="1" t="str">
        <f>"02029001466201958"</f>
        <v>02029001466201958</v>
      </c>
      <c r="Z1504" s="1" t="s">
        <v>147</v>
      </c>
      <c r="AA1504" s="1" t="s">
        <v>6310</v>
      </c>
      <c r="AB1504" s="1" t="str">
        <f>"***776011**"</f>
        <v>***776011**</v>
      </c>
      <c r="AC1504" s="1"/>
      <c r="AD1504" s="1"/>
      <c r="AE1504" s="1"/>
      <c r="AF1504" s="1">
        <v>-49.262501</v>
      </c>
      <c r="AG1504" s="1">
        <v>-7.7125</v>
      </c>
      <c r="AH1504" s="1" t="s">
        <v>6267</v>
      </c>
      <c r="AI1504" s="1"/>
      <c r="AJ1504" s="1" t="s">
        <v>386</v>
      </c>
      <c r="AK1504" s="1"/>
      <c r="AL1504" s="1" t="s">
        <v>79</v>
      </c>
      <c r="AM1504" s="1" t="s">
        <v>65</v>
      </c>
      <c r="AN1504" s="1" t="s">
        <v>391</v>
      </c>
      <c r="AO1504" s="2">
        <v>43892.0</v>
      </c>
      <c r="AP1504" s="2">
        <v>43892.4275462963</v>
      </c>
      <c r="AQ1504" s="1" t="s">
        <v>80</v>
      </c>
      <c r="AR1504" s="1" t="s">
        <v>3494</v>
      </c>
      <c r="AS1504" s="1"/>
      <c r="AT1504" s="2">
        <v>44269.931099537</v>
      </c>
    </row>
    <row r="1505" ht="13.5" customHeight="1">
      <c r="A1505" s="1">
        <v>2042541.0</v>
      </c>
      <c r="B1505" s="1" t="s">
        <v>67</v>
      </c>
      <c r="C1505" s="1" t="s">
        <v>68</v>
      </c>
      <c r="D1505" s="1" t="s">
        <v>46</v>
      </c>
      <c r="E1505" s="1" t="s">
        <v>6311</v>
      </c>
      <c r="F1505" s="1"/>
      <c r="G1505" s="1" t="s">
        <v>70</v>
      </c>
      <c r="H1505" s="1" t="s">
        <v>93</v>
      </c>
      <c r="I1505" s="1">
        <v>163500.0</v>
      </c>
      <c r="J1505" s="1"/>
      <c r="K1505" s="1"/>
      <c r="L1505" s="1" t="s">
        <v>131</v>
      </c>
      <c r="M1505" s="1" t="s">
        <v>6312</v>
      </c>
      <c r="N1505" s="1" t="s">
        <v>95</v>
      </c>
      <c r="O1505" s="1" t="s">
        <v>96</v>
      </c>
      <c r="P1505" s="2">
        <v>43776.125</v>
      </c>
      <c r="Q1505" s="1" t="s">
        <v>373</v>
      </c>
      <c r="R1505" s="3">
        <v>43776.0</v>
      </c>
      <c r="S1505" s="1"/>
      <c r="T1505" s="1">
        <v>3167202.0</v>
      </c>
      <c r="U1505" s="1" t="s">
        <v>6313</v>
      </c>
      <c r="V1505" s="1" t="s">
        <v>126</v>
      </c>
      <c r="W1505" s="1" t="s">
        <v>127</v>
      </c>
      <c r="X1505" s="1"/>
      <c r="Y1505" s="1"/>
      <c r="Z1505" s="1" t="s">
        <v>98</v>
      </c>
      <c r="AA1505" s="1" t="s">
        <v>6314</v>
      </c>
      <c r="AB1505" s="1" t="str">
        <f>"***130626**"</f>
        <v>***130626**</v>
      </c>
      <c r="AC1505" s="1"/>
      <c r="AD1505" s="1"/>
      <c r="AE1505" s="1"/>
      <c r="AF1505" s="1">
        <v>-44.291668</v>
      </c>
      <c r="AG1505" s="1">
        <v>-19.474445</v>
      </c>
      <c r="AH1505" s="1" t="s">
        <v>6315</v>
      </c>
      <c r="AI1505" s="1"/>
      <c r="AJ1505" s="1" t="s">
        <v>131</v>
      </c>
      <c r="AK1505" s="1"/>
      <c r="AL1505" s="1" t="s">
        <v>79</v>
      </c>
      <c r="AM1505" s="1" t="s">
        <v>65</v>
      </c>
      <c r="AN1505" s="1" t="s">
        <v>6316</v>
      </c>
      <c r="AO1505" s="2">
        <v>44207.0</v>
      </c>
      <c r="AP1505" s="2">
        <v>44207.4720949074</v>
      </c>
      <c r="AQ1505" s="1" t="s">
        <v>80</v>
      </c>
      <c r="AR1505" s="1" t="s">
        <v>683</v>
      </c>
      <c r="AS1505" s="1"/>
      <c r="AT1505" s="2">
        <v>44269.931099537</v>
      </c>
    </row>
    <row r="1506" ht="13.5" customHeight="1">
      <c r="A1506" s="1"/>
      <c r="B1506" s="1" t="s">
        <v>46</v>
      </c>
      <c r="C1506" s="1" t="s">
        <v>47</v>
      </c>
      <c r="D1506" s="1"/>
      <c r="E1506" s="1" t="s">
        <v>6317</v>
      </c>
      <c r="F1506" s="1"/>
      <c r="G1506" s="1"/>
      <c r="H1506" s="1" t="s">
        <v>93</v>
      </c>
      <c r="I1506" s="1">
        <v>6000.0</v>
      </c>
      <c r="J1506" s="1"/>
      <c r="K1506" s="1"/>
      <c r="L1506" s="1"/>
      <c r="M1506" s="1" t="s">
        <v>6318</v>
      </c>
      <c r="N1506" s="1" t="s">
        <v>142</v>
      </c>
      <c r="O1506" s="1" t="s">
        <v>143</v>
      </c>
      <c r="P1506" s="2">
        <v>43775.8387615741</v>
      </c>
      <c r="Q1506" s="1" t="s">
        <v>55</v>
      </c>
      <c r="R1506" s="1"/>
      <c r="S1506" s="1"/>
      <c r="T1506" s="1">
        <v>2615607.0</v>
      </c>
      <c r="U1506" s="1" t="s">
        <v>5422</v>
      </c>
      <c r="V1506" s="1" t="s">
        <v>1037</v>
      </c>
      <c r="W1506" s="1" t="s">
        <v>113</v>
      </c>
      <c r="X1506" s="1"/>
      <c r="Y1506" s="1"/>
      <c r="Z1506" s="1" t="s">
        <v>147</v>
      </c>
      <c r="AA1506" s="1" t="s">
        <v>6319</v>
      </c>
      <c r="AB1506" s="1" t="str">
        <f>"27959356000103"</f>
        <v>27959356000103</v>
      </c>
      <c r="AC1506" s="1"/>
      <c r="AD1506" s="1" t="s">
        <v>116</v>
      </c>
      <c r="AE1506" s="1"/>
      <c r="AF1506" s="1">
        <v>-40.308334</v>
      </c>
      <c r="AG1506" s="1">
        <v>-7.819723</v>
      </c>
      <c r="AH1506" s="1" t="s">
        <v>6320</v>
      </c>
      <c r="AI1506" s="1"/>
      <c r="AJ1506" s="1" t="s">
        <v>1040</v>
      </c>
      <c r="AK1506" s="1"/>
      <c r="AL1506" s="1"/>
      <c r="AM1506" s="1" t="s">
        <v>65</v>
      </c>
      <c r="AN1506" s="1" t="s">
        <v>1279</v>
      </c>
      <c r="AO1506" s="1"/>
      <c r="AP1506" s="2">
        <v>43775.8652430556</v>
      </c>
      <c r="AQ1506" s="1"/>
      <c r="AR1506" s="1" t="s">
        <v>280</v>
      </c>
      <c r="AS1506" s="1"/>
      <c r="AT1506" s="2">
        <v>44269.931099537</v>
      </c>
    </row>
    <row r="1507" ht="13.5" customHeight="1">
      <c r="A1507" s="1">
        <v>2042694.0</v>
      </c>
      <c r="B1507" s="1" t="s">
        <v>67</v>
      </c>
      <c r="C1507" s="1" t="s">
        <v>68</v>
      </c>
      <c r="D1507" s="1" t="s">
        <v>46</v>
      </c>
      <c r="E1507" s="1" t="s">
        <v>6321</v>
      </c>
      <c r="F1507" s="1"/>
      <c r="G1507" s="1" t="s">
        <v>70</v>
      </c>
      <c r="H1507" s="1" t="s">
        <v>93</v>
      </c>
      <c r="I1507" s="1">
        <v>900.0</v>
      </c>
      <c r="J1507" s="1"/>
      <c r="K1507" s="1"/>
      <c r="L1507" s="1" t="s">
        <v>1040</v>
      </c>
      <c r="M1507" s="1" t="s">
        <v>6322</v>
      </c>
      <c r="N1507" s="1" t="s">
        <v>142</v>
      </c>
      <c r="O1507" s="1" t="s">
        <v>143</v>
      </c>
      <c r="P1507" s="2">
        <v>43775.8333333333</v>
      </c>
      <c r="Q1507" s="1" t="s">
        <v>55</v>
      </c>
      <c r="R1507" s="1"/>
      <c r="S1507" s="1"/>
      <c r="T1507" s="1">
        <v>2615607.0</v>
      </c>
      <c r="U1507" s="1" t="s">
        <v>5422</v>
      </c>
      <c r="V1507" s="1" t="s">
        <v>1037</v>
      </c>
      <c r="W1507" s="1" t="s">
        <v>113</v>
      </c>
      <c r="X1507" s="1"/>
      <c r="Y1507" s="1" t="str">
        <f>"02019000713202051"</f>
        <v>02019000713202051</v>
      </c>
      <c r="Z1507" s="1" t="s">
        <v>147</v>
      </c>
      <c r="AA1507" s="1" t="s">
        <v>6323</v>
      </c>
      <c r="AB1507" s="1" t="str">
        <f>"27772740000100"</f>
        <v>27772740000100</v>
      </c>
      <c r="AC1507" s="1"/>
      <c r="AD1507" s="1"/>
      <c r="AE1507" s="1"/>
      <c r="AF1507" s="1">
        <v>-40.338333</v>
      </c>
      <c r="AG1507" s="1">
        <v>-7.775556</v>
      </c>
      <c r="AH1507" s="1" t="s">
        <v>6324</v>
      </c>
      <c r="AI1507" s="1"/>
      <c r="AJ1507" s="1" t="s">
        <v>1040</v>
      </c>
      <c r="AK1507" s="1"/>
      <c r="AL1507" s="1" t="s">
        <v>79</v>
      </c>
      <c r="AM1507" s="1" t="s">
        <v>65</v>
      </c>
      <c r="AN1507" s="1" t="s">
        <v>1279</v>
      </c>
      <c r="AO1507" s="2">
        <v>44215.0</v>
      </c>
      <c r="AP1507" s="2">
        <v>44215.7408333333</v>
      </c>
      <c r="AQ1507" s="1" t="s">
        <v>80</v>
      </c>
      <c r="AR1507" s="1" t="s">
        <v>181</v>
      </c>
      <c r="AS1507" s="1"/>
      <c r="AT1507" s="2">
        <v>44269.931099537</v>
      </c>
    </row>
    <row r="1508" ht="13.5" customHeight="1">
      <c r="A1508" s="1">
        <v>2034809.0</v>
      </c>
      <c r="B1508" s="1" t="s">
        <v>67</v>
      </c>
      <c r="C1508" s="1" t="s">
        <v>68</v>
      </c>
      <c r="D1508" s="1" t="s">
        <v>46</v>
      </c>
      <c r="E1508" s="1" t="s">
        <v>6325</v>
      </c>
      <c r="F1508" s="1"/>
      <c r="G1508" s="1" t="s">
        <v>70</v>
      </c>
      <c r="H1508" s="1" t="s">
        <v>93</v>
      </c>
      <c r="I1508" s="1">
        <v>5000.0</v>
      </c>
      <c r="J1508" s="1"/>
      <c r="K1508" s="1"/>
      <c r="L1508" s="1" t="s">
        <v>386</v>
      </c>
      <c r="M1508" s="1" t="s">
        <v>6326</v>
      </c>
      <c r="N1508" s="1" t="s">
        <v>142</v>
      </c>
      <c r="O1508" s="1" t="s">
        <v>143</v>
      </c>
      <c r="P1508" s="2">
        <v>43775.7916666667</v>
      </c>
      <c r="Q1508" s="1" t="s">
        <v>373</v>
      </c>
      <c r="R1508" s="3">
        <v>43775.0</v>
      </c>
      <c r="S1508" s="1"/>
      <c r="T1508" s="1">
        <v>1702307.0</v>
      </c>
      <c r="U1508" s="1" t="s">
        <v>6265</v>
      </c>
      <c r="V1508" s="1" t="s">
        <v>2156</v>
      </c>
      <c r="W1508" s="1" t="s">
        <v>127</v>
      </c>
      <c r="X1508" s="1"/>
      <c r="Y1508" s="1" t="str">
        <f>"02029001480201951"</f>
        <v>02029001480201951</v>
      </c>
      <c r="Z1508" s="1" t="s">
        <v>147</v>
      </c>
      <c r="AA1508" s="1" t="s">
        <v>6327</v>
      </c>
      <c r="AB1508" s="1" t="str">
        <f>"***275101**"</f>
        <v>***275101**</v>
      </c>
      <c r="AC1508" s="1"/>
      <c r="AD1508" s="1"/>
      <c r="AE1508" s="1"/>
      <c r="AF1508" s="1">
        <v>-49.382778</v>
      </c>
      <c r="AG1508" s="1">
        <v>-7.825</v>
      </c>
      <c r="AH1508" s="1" t="s">
        <v>6267</v>
      </c>
      <c r="AI1508" s="1"/>
      <c r="AJ1508" s="1" t="s">
        <v>386</v>
      </c>
      <c r="AK1508" s="1"/>
      <c r="AL1508" s="1" t="s">
        <v>79</v>
      </c>
      <c r="AM1508" s="1" t="s">
        <v>65</v>
      </c>
      <c r="AN1508" s="1" t="s">
        <v>391</v>
      </c>
      <c r="AO1508" s="2">
        <v>43892.0</v>
      </c>
      <c r="AP1508" s="2">
        <v>43892.4281712963</v>
      </c>
      <c r="AQ1508" s="1" t="s">
        <v>80</v>
      </c>
      <c r="AR1508" s="1" t="s">
        <v>656</v>
      </c>
      <c r="AS1508" s="1"/>
      <c r="AT1508" s="2">
        <v>44269.931099537</v>
      </c>
    </row>
    <row r="1509" ht="13.5" customHeight="1">
      <c r="A1509" s="1">
        <v>2042693.0</v>
      </c>
      <c r="B1509" s="1" t="s">
        <v>67</v>
      </c>
      <c r="C1509" s="1" t="s">
        <v>68</v>
      </c>
      <c r="D1509" s="1" t="s">
        <v>46</v>
      </c>
      <c r="E1509" s="1" t="s">
        <v>6328</v>
      </c>
      <c r="F1509" s="1"/>
      <c r="G1509" s="1" t="s">
        <v>70</v>
      </c>
      <c r="H1509" s="1" t="s">
        <v>93</v>
      </c>
      <c r="I1509" s="1">
        <v>500.0</v>
      </c>
      <c r="J1509" s="1"/>
      <c r="K1509" s="1"/>
      <c r="L1509" s="1" t="s">
        <v>1040</v>
      </c>
      <c r="M1509" s="1" t="s">
        <v>6153</v>
      </c>
      <c r="N1509" s="1" t="s">
        <v>72</v>
      </c>
      <c r="O1509" s="1" t="s">
        <v>213</v>
      </c>
      <c r="P1509" s="2">
        <v>43775.7916666667</v>
      </c>
      <c r="Q1509" s="1" t="s">
        <v>55</v>
      </c>
      <c r="R1509" s="1"/>
      <c r="S1509" s="1"/>
      <c r="T1509" s="1">
        <v>2615607.0</v>
      </c>
      <c r="U1509" s="1" t="s">
        <v>5422</v>
      </c>
      <c r="V1509" s="1" t="s">
        <v>1037</v>
      </c>
      <c r="W1509" s="1" t="s">
        <v>113</v>
      </c>
      <c r="X1509" s="1"/>
      <c r="Y1509" s="1" t="str">
        <f>"02019003735201930"</f>
        <v>02019003735201930</v>
      </c>
      <c r="Z1509" s="1" t="s">
        <v>215</v>
      </c>
      <c r="AA1509" s="1" t="s">
        <v>6323</v>
      </c>
      <c r="AB1509" s="1" t="str">
        <f>"27772740000100"</f>
        <v>27772740000100</v>
      </c>
      <c r="AC1509" s="1"/>
      <c r="AD1509" s="1"/>
      <c r="AE1509" s="1"/>
      <c r="AF1509" s="1">
        <v>-40.338333</v>
      </c>
      <c r="AG1509" s="1">
        <v>-7.775556</v>
      </c>
      <c r="AH1509" s="1" t="s">
        <v>6329</v>
      </c>
      <c r="AI1509" s="1"/>
      <c r="AJ1509" s="1" t="s">
        <v>1040</v>
      </c>
      <c r="AK1509" s="1"/>
      <c r="AL1509" s="1" t="s">
        <v>79</v>
      </c>
      <c r="AM1509" s="1" t="s">
        <v>65</v>
      </c>
      <c r="AN1509" s="1" t="s">
        <v>1279</v>
      </c>
      <c r="AO1509" s="2">
        <v>44215.0</v>
      </c>
      <c r="AP1509" s="2">
        <v>44215.7407523148</v>
      </c>
      <c r="AQ1509" s="1" t="s">
        <v>80</v>
      </c>
      <c r="AR1509" s="1" t="s">
        <v>909</v>
      </c>
      <c r="AS1509" s="1"/>
      <c r="AT1509" s="2">
        <v>44269.931099537</v>
      </c>
    </row>
    <row r="1510" ht="13.5" customHeight="1">
      <c r="A1510" s="1">
        <v>2034804.0</v>
      </c>
      <c r="B1510" s="1" t="s">
        <v>67</v>
      </c>
      <c r="C1510" s="1" t="s">
        <v>68</v>
      </c>
      <c r="D1510" s="1" t="s">
        <v>46</v>
      </c>
      <c r="E1510" s="1" t="s">
        <v>6330</v>
      </c>
      <c r="F1510" s="1"/>
      <c r="G1510" s="1" t="s">
        <v>70</v>
      </c>
      <c r="H1510" s="1" t="s">
        <v>93</v>
      </c>
      <c r="I1510" s="1">
        <v>5000.0</v>
      </c>
      <c r="J1510" s="1"/>
      <c r="K1510" s="1"/>
      <c r="L1510" s="1" t="s">
        <v>386</v>
      </c>
      <c r="M1510" s="1" t="s">
        <v>6331</v>
      </c>
      <c r="N1510" s="1" t="s">
        <v>142</v>
      </c>
      <c r="O1510" s="1" t="s">
        <v>143</v>
      </c>
      <c r="P1510" s="2">
        <v>43775.75</v>
      </c>
      <c r="Q1510" s="1" t="s">
        <v>373</v>
      </c>
      <c r="R1510" s="3">
        <v>43775.0</v>
      </c>
      <c r="S1510" s="1"/>
      <c r="T1510" s="1">
        <v>1702307.0</v>
      </c>
      <c r="U1510" s="1" t="s">
        <v>6265</v>
      </c>
      <c r="V1510" s="1" t="s">
        <v>2156</v>
      </c>
      <c r="W1510" s="1" t="s">
        <v>127</v>
      </c>
      <c r="X1510" s="1"/>
      <c r="Y1510" s="1" t="str">
        <f>"02029001481201904"</f>
        <v>02029001481201904</v>
      </c>
      <c r="Z1510" s="1" t="s">
        <v>147</v>
      </c>
      <c r="AA1510" s="1" t="s">
        <v>6332</v>
      </c>
      <c r="AB1510" s="1" t="str">
        <f>"***527029**"</f>
        <v>***527029**</v>
      </c>
      <c r="AC1510" s="1"/>
      <c r="AD1510" s="1"/>
      <c r="AE1510" s="1"/>
      <c r="AF1510" s="1">
        <v>-49.262779</v>
      </c>
      <c r="AG1510" s="1">
        <v>-7.711944</v>
      </c>
      <c r="AH1510" s="1" t="s">
        <v>6267</v>
      </c>
      <c r="AI1510" s="1"/>
      <c r="AJ1510" s="1" t="s">
        <v>386</v>
      </c>
      <c r="AK1510" s="1"/>
      <c r="AL1510" s="1" t="s">
        <v>79</v>
      </c>
      <c r="AM1510" s="1" t="s">
        <v>65</v>
      </c>
      <c r="AN1510" s="1" t="s">
        <v>391</v>
      </c>
      <c r="AO1510" s="2">
        <v>43892.0</v>
      </c>
      <c r="AP1510" s="2">
        <v>43892.4274074074</v>
      </c>
      <c r="AQ1510" s="1" t="s">
        <v>80</v>
      </c>
      <c r="AR1510" s="1" t="s">
        <v>656</v>
      </c>
      <c r="AS1510" s="1"/>
      <c r="AT1510" s="2">
        <v>44269.931099537</v>
      </c>
    </row>
    <row r="1511" ht="13.5" customHeight="1">
      <c r="A1511" s="1"/>
      <c r="B1511" s="1" t="s">
        <v>46</v>
      </c>
      <c r="C1511" s="1" t="s">
        <v>47</v>
      </c>
      <c r="D1511" s="1"/>
      <c r="E1511" s="1" t="s">
        <v>6333</v>
      </c>
      <c r="F1511" s="1"/>
      <c r="G1511" s="1"/>
      <c r="H1511" s="1" t="s">
        <v>93</v>
      </c>
      <c r="I1511" s="1">
        <v>3000.0</v>
      </c>
      <c r="J1511" s="1"/>
      <c r="K1511" s="1"/>
      <c r="L1511" s="1"/>
      <c r="M1511" s="1" t="s">
        <v>6334</v>
      </c>
      <c r="N1511" s="1" t="s">
        <v>142</v>
      </c>
      <c r="O1511" s="1" t="s">
        <v>143</v>
      </c>
      <c r="P1511" s="2">
        <v>43775.7277546296</v>
      </c>
      <c r="Q1511" s="1" t="s">
        <v>373</v>
      </c>
      <c r="R1511" s="1"/>
      <c r="S1511" s="1"/>
      <c r="T1511" s="1">
        <v>1100338.0</v>
      </c>
      <c r="U1511" s="1" t="s">
        <v>5017</v>
      </c>
      <c r="V1511" s="1" t="s">
        <v>448</v>
      </c>
      <c r="W1511" s="1" t="s">
        <v>59</v>
      </c>
      <c r="X1511" s="1"/>
      <c r="Y1511" s="1"/>
      <c r="Z1511" s="1" t="s">
        <v>147</v>
      </c>
      <c r="AA1511" s="1" t="s">
        <v>6335</v>
      </c>
      <c r="AB1511" s="1" t="str">
        <f>"***981262**"</f>
        <v>***981262**</v>
      </c>
      <c r="AC1511" s="1"/>
      <c r="AD1511" s="1" t="s">
        <v>62</v>
      </c>
      <c r="AE1511" s="1"/>
      <c r="AF1511" s="1">
        <v>-65.138885</v>
      </c>
      <c r="AG1511" s="1">
        <v>-9.990833</v>
      </c>
      <c r="AH1511" s="1" t="s">
        <v>6336</v>
      </c>
      <c r="AI1511" s="1"/>
      <c r="AJ1511" s="1" t="s">
        <v>172</v>
      </c>
      <c r="AK1511" s="1"/>
      <c r="AL1511" s="1"/>
      <c r="AM1511" s="1" t="s">
        <v>65</v>
      </c>
      <c r="AN1511" s="1" t="s">
        <v>1395</v>
      </c>
      <c r="AO1511" s="1"/>
      <c r="AP1511" s="2">
        <v>43777.5070833333</v>
      </c>
      <c r="AQ1511" s="1"/>
      <c r="AR1511" s="1" t="s">
        <v>2843</v>
      </c>
      <c r="AS1511" s="1"/>
      <c r="AT1511" s="2">
        <v>44269.931099537</v>
      </c>
    </row>
    <row r="1512" ht="13.5" customHeight="1">
      <c r="A1512" s="1">
        <v>2034803.0</v>
      </c>
      <c r="B1512" s="1" t="s">
        <v>67</v>
      </c>
      <c r="C1512" s="1" t="s">
        <v>68</v>
      </c>
      <c r="D1512" s="1" t="s">
        <v>46</v>
      </c>
      <c r="E1512" s="1" t="s">
        <v>6337</v>
      </c>
      <c r="F1512" s="1"/>
      <c r="G1512" s="1" t="s">
        <v>70</v>
      </c>
      <c r="H1512" s="1" t="s">
        <v>50</v>
      </c>
      <c r="I1512" s="1">
        <v>50500.0</v>
      </c>
      <c r="J1512" s="1"/>
      <c r="K1512" s="1"/>
      <c r="L1512" s="1" t="s">
        <v>386</v>
      </c>
      <c r="M1512" s="1" t="s">
        <v>6338</v>
      </c>
      <c r="N1512" s="1" t="s">
        <v>142</v>
      </c>
      <c r="O1512" s="1" t="s">
        <v>143</v>
      </c>
      <c r="P1512" s="2">
        <v>43775.7083333333</v>
      </c>
      <c r="Q1512" s="1" t="s">
        <v>373</v>
      </c>
      <c r="R1512" s="3">
        <v>43775.0</v>
      </c>
      <c r="S1512" s="1"/>
      <c r="T1512" s="1">
        <v>1702307.0</v>
      </c>
      <c r="U1512" s="1" t="s">
        <v>6265</v>
      </c>
      <c r="V1512" s="1" t="s">
        <v>2156</v>
      </c>
      <c r="W1512" s="1" t="s">
        <v>127</v>
      </c>
      <c r="X1512" s="1"/>
      <c r="Y1512" s="1" t="str">
        <f>"02029001458201910"</f>
        <v>02029001458201910</v>
      </c>
      <c r="Z1512" s="1" t="s">
        <v>147</v>
      </c>
      <c r="AA1512" s="1" t="s">
        <v>6339</v>
      </c>
      <c r="AB1512" s="1" t="str">
        <f>"00237370000147"</f>
        <v>00237370000147</v>
      </c>
      <c r="AC1512" s="1"/>
      <c r="AD1512" s="1"/>
      <c r="AE1512" s="1"/>
      <c r="AF1512" s="1">
        <v>-49.264446</v>
      </c>
      <c r="AG1512" s="1">
        <v>-7.711667</v>
      </c>
      <c r="AH1512" s="1" t="s">
        <v>6267</v>
      </c>
      <c r="AI1512" s="1"/>
      <c r="AJ1512" s="1" t="s">
        <v>386</v>
      </c>
      <c r="AK1512" s="1"/>
      <c r="AL1512" s="1" t="s">
        <v>79</v>
      </c>
      <c r="AM1512" s="1" t="s">
        <v>65</v>
      </c>
      <c r="AN1512" s="1" t="s">
        <v>391</v>
      </c>
      <c r="AO1512" s="2">
        <v>43892.0</v>
      </c>
      <c r="AP1512" s="2">
        <v>43892.4269560185</v>
      </c>
      <c r="AQ1512" s="1" t="s">
        <v>80</v>
      </c>
      <c r="AR1512" s="1" t="s">
        <v>3369</v>
      </c>
      <c r="AS1512" s="1"/>
      <c r="AT1512" s="2">
        <v>44269.931099537</v>
      </c>
    </row>
    <row r="1513" ht="13.5" customHeight="1">
      <c r="A1513" s="1"/>
      <c r="B1513" s="1" t="s">
        <v>46</v>
      </c>
      <c r="C1513" s="1" t="s">
        <v>47</v>
      </c>
      <c r="D1513" s="1"/>
      <c r="E1513" s="1" t="s">
        <v>6340</v>
      </c>
      <c r="F1513" s="1"/>
      <c r="G1513" s="1" t="s">
        <v>49</v>
      </c>
      <c r="H1513" s="1" t="s">
        <v>50</v>
      </c>
      <c r="I1513" s="1">
        <v>201500.0</v>
      </c>
      <c r="J1513" s="1"/>
      <c r="K1513" s="1" t="s">
        <v>140</v>
      </c>
      <c r="L1513" s="1"/>
      <c r="M1513" s="1" t="s">
        <v>6341</v>
      </c>
      <c r="N1513" s="1" t="s">
        <v>123</v>
      </c>
      <c r="O1513" s="1" t="s">
        <v>73</v>
      </c>
      <c r="P1513" s="2">
        <v>43775.6809837963</v>
      </c>
      <c r="Q1513" s="1" t="s">
        <v>74</v>
      </c>
      <c r="R1513" s="3">
        <v>43776.0</v>
      </c>
      <c r="S1513" s="1"/>
      <c r="T1513" s="1">
        <v>5103254.0</v>
      </c>
      <c r="U1513" s="1" t="s">
        <v>5275</v>
      </c>
      <c r="V1513" s="1" t="s">
        <v>164</v>
      </c>
      <c r="W1513" s="1" t="s">
        <v>177</v>
      </c>
      <c r="X1513" s="1"/>
      <c r="Y1513" s="1"/>
      <c r="Z1513" s="1" t="s">
        <v>76</v>
      </c>
      <c r="AA1513" s="1" t="s">
        <v>6342</v>
      </c>
      <c r="AB1513" s="1" t="str">
        <f>"15400918000103"</f>
        <v>15400918000103</v>
      </c>
      <c r="AC1513" s="1"/>
      <c r="AD1513" s="1" t="s">
        <v>62</v>
      </c>
      <c r="AE1513" s="1"/>
      <c r="AF1513" s="1">
        <v>-60.329166</v>
      </c>
      <c r="AG1513" s="1">
        <v>-9.384444</v>
      </c>
      <c r="AH1513" s="1" t="s">
        <v>6342</v>
      </c>
      <c r="AI1513" s="1"/>
      <c r="AJ1513" s="1" t="s">
        <v>167</v>
      </c>
      <c r="AK1513" s="1"/>
      <c r="AL1513" s="1"/>
      <c r="AM1513" s="1" t="s">
        <v>65</v>
      </c>
      <c r="AN1513" s="1" t="s">
        <v>337</v>
      </c>
      <c r="AO1513" s="1"/>
      <c r="AP1513" s="2">
        <v>44022.6394675926</v>
      </c>
      <c r="AQ1513" s="1"/>
      <c r="AR1513" s="1" t="s">
        <v>396</v>
      </c>
      <c r="AS1513" s="1"/>
      <c r="AT1513" s="2">
        <v>44269.931099537</v>
      </c>
    </row>
    <row r="1514" ht="13.5" customHeight="1">
      <c r="A1514" s="1">
        <v>2034799.0</v>
      </c>
      <c r="B1514" s="1" t="s">
        <v>67</v>
      </c>
      <c r="C1514" s="1" t="s">
        <v>68</v>
      </c>
      <c r="D1514" s="1" t="s">
        <v>46</v>
      </c>
      <c r="E1514" s="1" t="s">
        <v>6343</v>
      </c>
      <c r="F1514" s="1"/>
      <c r="G1514" s="1" t="s">
        <v>70</v>
      </c>
      <c r="H1514" s="1" t="s">
        <v>93</v>
      </c>
      <c r="I1514" s="1">
        <v>5000.0</v>
      </c>
      <c r="J1514" s="1"/>
      <c r="K1514" s="1"/>
      <c r="L1514" s="1" t="s">
        <v>386</v>
      </c>
      <c r="M1514" s="1" t="s">
        <v>6344</v>
      </c>
      <c r="N1514" s="1" t="s">
        <v>142</v>
      </c>
      <c r="O1514" s="1" t="s">
        <v>143</v>
      </c>
      <c r="P1514" s="2">
        <v>43775.6666666667</v>
      </c>
      <c r="Q1514" s="1" t="s">
        <v>373</v>
      </c>
      <c r="R1514" s="3">
        <v>43775.0</v>
      </c>
      <c r="S1514" s="1"/>
      <c r="T1514" s="1">
        <v>1702307.0</v>
      </c>
      <c r="U1514" s="1" t="s">
        <v>6265</v>
      </c>
      <c r="V1514" s="1" t="s">
        <v>2156</v>
      </c>
      <c r="W1514" s="1" t="s">
        <v>127</v>
      </c>
      <c r="X1514" s="1"/>
      <c r="Y1514" s="1" t="str">
        <f>"02029001471201961"</f>
        <v>02029001471201961</v>
      </c>
      <c r="Z1514" s="1" t="s">
        <v>147</v>
      </c>
      <c r="AA1514" s="1" t="s">
        <v>6345</v>
      </c>
      <c r="AB1514" s="1" t="str">
        <f>"***975051**"</f>
        <v>***975051**</v>
      </c>
      <c r="AC1514" s="1"/>
      <c r="AD1514" s="1"/>
      <c r="AE1514" s="1"/>
      <c r="AF1514" s="1">
        <v>-49.263332</v>
      </c>
      <c r="AG1514" s="1">
        <v>-7.7125</v>
      </c>
      <c r="AH1514" s="1" t="s">
        <v>6267</v>
      </c>
      <c r="AI1514" s="1"/>
      <c r="AJ1514" s="1" t="s">
        <v>386</v>
      </c>
      <c r="AK1514" s="1"/>
      <c r="AL1514" s="1" t="s">
        <v>79</v>
      </c>
      <c r="AM1514" s="1" t="s">
        <v>65</v>
      </c>
      <c r="AN1514" s="1" t="s">
        <v>391</v>
      </c>
      <c r="AO1514" s="2">
        <v>43892.0</v>
      </c>
      <c r="AP1514" s="2">
        <v>43892.4261458333</v>
      </c>
      <c r="AQ1514" s="1" t="s">
        <v>80</v>
      </c>
      <c r="AR1514" s="1" t="s">
        <v>3494</v>
      </c>
      <c r="AS1514" s="1"/>
      <c r="AT1514" s="2">
        <v>44269.931099537</v>
      </c>
    </row>
    <row r="1515" ht="13.5" customHeight="1">
      <c r="A1515" s="1">
        <v>2034800.0</v>
      </c>
      <c r="B1515" s="1" t="s">
        <v>67</v>
      </c>
      <c r="C1515" s="1" t="s">
        <v>68</v>
      </c>
      <c r="D1515" s="1" t="s">
        <v>46</v>
      </c>
      <c r="E1515" s="1" t="s">
        <v>6346</v>
      </c>
      <c r="F1515" s="1"/>
      <c r="G1515" s="1" t="s">
        <v>70</v>
      </c>
      <c r="H1515" s="1" t="s">
        <v>93</v>
      </c>
      <c r="I1515" s="1">
        <v>5000.0</v>
      </c>
      <c r="J1515" s="1"/>
      <c r="K1515" s="1"/>
      <c r="L1515" s="1" t="s">
        <v>386</v>
      </c>
      <c r="M1515" s="1" t="s">
        <v>6347</v>
      </c>
      <c r="N1515" s="1" t="s">
        <v>142</v>
      </c>
      <c r="O1515" s="1" t="s">
        <v>143</v>
      </c>
      <c r="P1515" s="2">
        <v>43775.6666666667</v>
      </c>
      <c r="Q1515" s="1" t="s">
        <v>373</v>
      </c>
      <c r="R1515" s="3">
        <v>43775.0</v>
      </c>
      <c r="S1515" s="1"/>
      <c r="T1515" s="1">
        <v>1702307.0</v>
      </c>
      <c r="U1515" s="1" t="s">
        <v>6265</v>
      </c>
      <c r="V1515" s="1" t="s">
        <v>2156</v>
      </c>
      <c r="W1515" s="1" t="s">
        <v>127</v>
      </c>
      <c r="X1515" s="1"/>
      <c r="Y1515" s="1" t="str">
        <f>"02029001548201901"</f>
        <v>02029001548201901</v>
      </c>
      <c r="Z1515" s="1" t="s">
        <v>147</v>
      </c>
      <c r="AA1515" s="1" t="s">
        <v>6348</v>
      </c>
      <c r="AB1515" s="1" t="str">
        <f>"***038701**"</f>
        <v>***038701**</v>
      </c>
      <c r="AC1515" s="1"/>
      <c r="AD1515" s="1"/>
      <c r="AE1515" s="1"/>
      <c r="AF1515" s="1">
        <v>-49.379166</v>
      </c>
      <c r="AG1515" s="1">
        <v>-7.825</v>
      </c>
      <c r="AH1515" s="1" t="s">
        <v>6349</v>
      </c>
      <c r="AI1515" s="1"/>
      <c r="AJ1515" s="1" t="s">
        <v>386</v>
      </c>
      <c r="AK1515" s="1"/>
      <c r="AL1515" s="1" t="s">
        <v>79</v>
      </c>
      <c r="AM1515" s="1" t="s">
        <v>65</v>
      </c>
      <c r="AN1515" s="1" t="s">
        <v>391</v>
      </c>
      <c r="AO1515" s="2">
        <v>43892.0</v>
      </c>
      <c r="AP1515" s="2">
        <v>43892.4263541667</v>
      </c>
      <c r="AQ1515" s="1" t="s">
        <v>80</v>
      </c>
      <c r="AR1515" s="1" t="s">
        <v>3494</v>
      </c>
      <c r="AS1515" s="1"/>
      <c r="AT1515" s="2">
        <v>44269.931099537</v>
      </c>
    </row>
    <row r="1516" ht="13.5" customHeight="1">
      <c r="A1516" s="1">
        <v>2034801.0</v>
      </c>
      <c r="B1516" s="1" t="s">
        <v>67</v>
      </c>
      <c r="C1516" s="1" t="s">
        <v>68</v>
      </c>
      <c r="D1516" s="1" t="s">
        <v>46</v>
      </c>
      <c r="E1516" s="1" t="s">
        <v>6350</v>
      </c>
      <c r="F1516" s="1"/>
      <c r="G1516" s="1" t="s">
        <v>70</v>
      </c>
      <c r="H1516" s="1" t="s">
        <v>93</v>
      </c>
      <c r="I1516" s="1">
        <v>5000.0</v>
      </c>
      <c r="J1516" s="1"/>
      <c r="K1516" s="1"/>
      <c r="L1516" s="1" t="s">
        <v>386</v>
      </c>
      <c r="M1516" s="1" t="s">
        <v>6351</v>
      </c>
      <c r="N1516" s="1" t="s">
        <v>142</v>
      </c>
      <c r="O1516" s="1" t="s">
        <v>143</v>
      </c>
      <c r="P1516" s="2">
        <v>43775.6666666667</v>
      </c>
      <c r="Q1516" s="1" t="s">
        <v>373</v>
      </c>
      <c r="R1516" s="3">
        <v>43775.0</v>
      </c>
      <c r="S1516" s="1"/>
      <c r="T1516" s="1">
        <v>1702307.0</v>
      </c>
      <c r="U1516" s="1" t="s">
        <v>6265</v>
      </c>
      <c r="V1516" s="1" t="s">
        <v>2156</v>
      </c>
      <c r="W1516" s="1" t="s">
        <v>127</v>
      </c>
      <c r="X1516" s="1"/>
      <c r="Y1516" s="1" t="str">
        <f>"02029001470201916"</f>
        <v>02029001470201916</v>
      </c>
      <c r="Z1516" s="1" t="s">
        <v>147</v>
      </c>
      <c r="AA1516" s="1" t="s">
        <v>6352</v>
      </c>
      <c r="AB1516" s="1" t="str">
        <f>"***295422**"</f>
        <v>***295422**</v>
      </c>
      <c r="AC1516" s="1"/>
      <c r="AD1516" s="1"/>
      <c r="AE1516" s="1"/>
      <c r="AF1516" s="1">
        <v>-49.262779</v>
      </c>
      <c r="AG1516" s="1">
        <v>-7.712222</v>
      </c>
      <c r="AH1516" s="1" t="s">
        <v>6267</v>
      </c>
      <c r="AI1516" s="1"/>
      <c r="AJ1516" s="1" t="s">
        <v>386</v>
      </c>
      <c r="AK1516" s="1"/>
      <c r="AL1516" s="1" t="s">
        <v>79</v>
      </c>
      <c r="AM1516" s="1" t="s">
        <v>65</v>
      </c>
      <c r="AN1516" s="1" t="s">
        <v>391</v>
      </c>
      <c r="AO1516" s="2">
        <v>43892.0</v>
      </c>
      <c r="AP1516" s="2">
        <v>43892.4266203704</v>
      </c>
      <c r="AQ1516" s="1" t="s">
        <v>80</v>
      </c>
      <c r="AR1516" s="1" t="s">
        <v>3494</v>
      </c>
      <c r="AS1516" s="1"/>
      <c r="AT1516" s="2">
        <v>44269.931099537</v>
      </c>
    </row>
    <row r="1517" ht="13.5" customHeight="1">
      <c r="A1517" s="1">
        <v>2034802.0</v>
      </c>
      <c r="B1517" s="1" t="s">
        <v>67</v>
      </c>
      <c r="C1517" s="1" t="s">
        <v>68</v>
      </c>
      <c r="D1517" s="1" t="s">
        <v>46</v>
      </c>
      <c r="E1517" s="1" t="s">
        <v>6353</v>
      </c>
      <c r="F1517" s="1"/>
      <c r="G1517" s="1" t="s">
        <v>70</v>
      </c>
      <c r="H1517" s="1" t="s">
        <v>93</v>
      </c>
      <c r="I1517" s="1">
        <v>5000.0</v>
      </c>
      <c r="J1517" s="1"/>
      <c r="K1517" s="1"/>
      <c r="L1517" s="1" t="s">
        <v>386</v>
      </c>
      <c r="M1517" s="1" t="s">
        <v>6354</v>
      </c>
      <c r="N1517" s="1" t="s">
        <v>142</v>
      </c>
      <c r="O1517" s="1" t="s">
        <v>143</v>
      </c>
      <c r="P1517" s="2">
        <v>43775.6666666667</v>
      </c>
      <c r="Q1517" s="1" t="s">
        <v>373</v>
      </c>
      <c r="R1517" s="3">
        <v>43775.0</v>
      </c>
      <c r="S1517" s="1"/>
      <c r="T1517" s="1">
        <v>1702307.0</v>
      </c>
      <c r="U1517" s="1" t="s">
        <v>6265</v>
      </c>
      <c r="V1517" s="1" t="s">
        <v>2156</v>
      </c>
      <c r="W1517" s="1" t="s">
        <v>127</v>
      </c>
      <c r="X1517" s="1"/>
      <c r="Y1517" s="1" t="str">
        <f>"02029001469201991"</f>
        <v>02029001469201991</v>
      </c>
      <c r="Z1517" s="1" t="s">
        <v>147</v>
      </c>
      <c r="AA1517" s="1" t="s">
        <v>6355</v>
      </c>
      <c r="AB1517" s="1" t="str">
        <f>"***088011**"</f>
        <v>***088011**</v>
      </c>
      <c r="AC1517" s="1"/>
      <c r="AD1517" s="1"/>
      <c r="AE1517" s="1"/>
      <c r="AF1517" s="1">
        <v>-49.263054</v>
      </c>
      <c r="AG1517" s="1">
        <v>-7.713611</v>
      </c>
      <c r="AH1517" s="1" t="s">
        <v>6267</v>
      </c>
      <c r="AI1517" s="1"/>
      <c r="AJ1517" s="1" t="s">
        <v>386</v>
      </c>
      <c r="AK1517" s="1"/>
      <c r="AL1517" s="1" t="s">
        <v>79</v>
      </c>
      <c r="AM1517" s="1" t="s">
        <v>65</v>
      </c>
      <c r="AN1517" s="1" t="s">
        <v>391</v>
      </c>
      <c r="AO1517" s="2">
        <v>43892.0</v>
      </c>
      <c r="AP1517" s="2">
        <v>43892.4268055556</v>
      </c>
      <c r="AQ1517" s="1" t="s">
        <v>80</v>
      </c>
      <c r="AR1517" s="1" t="s">
        <v>3494</v>
      </c>
      <c r="AS1517" s="1"/>
      <c r="AT1517" s="2">
        <v>44269.931099537</v>
      </c>
    </row>
    <row r="1518" ht="13.5" customHeight="1">
      <c r="A1518" s="1">
        <v>2034797.0</v>
      </c>
      <c r="B1518" s="1" t="s">
        <v>67</v>
      </c>
      <c r="C1518" s="1" t="s">
        <v>68</v>
      </c>
      <c r="D1518" s="1" t="s">
        <v>46</v>
      </c>
      <c r="E1518" s="1" t="s">
        <v>6356</v>
      </c>
      <c r="F1518" s="1"/>
      <c r="G1518" s="1" t="s">
        <v>70</v>
      </c>
      <c r="H1518" s="1" t="s">
        <v>93</v>
      </c>
      <c r="I1518" s="1">
        <v>5000.0</v>
      </c>
      <c r="J1518" s="1"/>
      <c r="K1518" s="1"/>
      <c r="L1518" s="1" t="s">
        <v>386</v>
      </c>
      <c r="M1518" s="1" t="s">
        <v>6357</v>
      </c>
      <c r="N1518" s="1" t="s">
        <v>142</v>
      </c>
      <c r="O1518" s="1" t="s">
        <v>143</v>
      </c>
      <c r="P1518" s="2">
        <v>43775.625</v>
      </c>
      <c r="Q1518" s="1" t="s">
        <v>373</v>
      </c>
      <c r="R1518" s="3">
        <v>43775.0</v>
      </c>
      <c r="S1518" s="1"/>
      <c r="T1518" s="1">
        <v>1702307.0</v>
      </c>
      <c r="U1518" s="1" t="s">
        <v>6265</v>
      </c>
      <c r="V1518" s="1" t="s">
        <v>2156</v>
      </c>
      <c r="W1518" s="1" t="s">
        <v>127</v>
      </c>
      <c r="X1518" s="1"/>
      <c r="Y1518" s="1" t="str">
        <f>"02029001454201923"</f>
        <v>02029001454201923</v>
      </c>
      <c r="Z1518" s="1" t="s">
        <v>147</v>
      </c>
      <c r="AA1518" s="1" t="s">
        <v>6358</v>
      </c>
      <c r="AB1518" s="1" t="str">
        <f>"***355011**"</f>
        <v>***355011**</v>
      </c>
      <c r="AC1518" s="1"/>
      <c r="AD1518" s="1"/>
      <c r="AE1518" s="1"/>
      <c r="AF1518" s="1">
        <v>-49.262779</v>
      </c>
      <c r="AG1518" s="1">
        <v>-7.712778</v>
      </c>
      <c r="AH1518" s="1" t="s">
        <v>6267</v>
      </c>
      <c r="AI1518" s="1"/>
      <c r="AJ1518" s="1" t="s">
        <v>386</v>
      </c>
      <c r="AK1518" s="1"/>
      <c r="AL1518" s="1" t="s">
        <v>79</v>
      </c>
      <c r="AM1518" s="1" t="s">
        <v>65</v>
      </c>
      <c r="AN1518" s="1" t="s">
        <v>391</v>
      </c>
      <c r="AO1518" s="2">
        <v>43892.0</v>
      </c>
      <c r="AP1518" s="2">
        <v>43892.4257638889</v>
      </c>
      <c r="AQ1518" s="1" t="s">
        <v>80</v>
      </c>
      <c r="AR1518" s="1" t="s">
        <v>3494</v>
      </c>
      <c r="AS1518" s="1"/>
      <c r="AT1518" s="2">
        <v>44269.931099537</v>
      </c>
    </row>
    <row r="1519" ht="13.5" customHeight="1">
      <c r="A1519" s="1">
        <v>2034798.0</v>
      </c>
      <c r="B1519" s="1" t="s">
        <v>67</v>
      </c>
      <c r="C1519" s="1" t="s">
        <v>68</v>
      </c>
      <c r="D1519" s="1" t="s">
        <v>46</v>
      </c>
      <c r="E1519" s="1" t="s">
        <v>6359</v>
      </c>
      <c r="F1519" s="1"/>
      <c r="G1519" s="1" t="s">
        <v>70</v>
      </c>
      <c r="H1519" s="1" t="s">
        <v>93</v>
      </c>
      <c r="I1519" s="1">
        <v>5000.0</v>
      </c>
      <c r="J1519" s="1"/>
      <c r="K1519" s="1"/>
      <c r="L1519" s="1" t="s">
        <v>386</v>
      </c>
      <c r="M1519" s="1" t="s">
        <v>6360</v>
      </c>
      <c r="N1519" s="1" t="s">
        <v>142</v>
      </c>
      <c r="O1519" s="1" t="s">
        <v>143</v>
      </c>
      <c r="P1519" s="2">
        <v>43775.625</v>
      </c>
      <c r="Q1519" s="1" t="s">
        <v>373</v>
      </c>
      <c r="R1519" s="3">
        <v>43775.0</v>
      </c>
      <c r="S1519" s="1"/>
      <c r="T1519" s="1">
        <v>1702307.0</v>
      </c>
      <c r="U1519" s="1" t="s">
        <v>6265</v>
      </c>
      <c r="V1519" s="1" t="s">
        <v>2156</v>
      </c>
      <c r="W1519" s="1" t="s">
        <v>127</v>
      </c>
      <c r="X1519" s="1"/>
      <c r="Y1519" s="1" t="str">
        <f>"02029001453201989"</f>
        <v>02029001453201989</v>
      </c>
      <c r="Z1519" s="1" t="s">
        <v>147</v>
      </c>
      <c r="AA1519" s="1" t="s">
        <v>6361</v>
      </c>
      <c r="AB1519" s="1" t="str">
        <f>"***599967**"</f>
        <v>***599967**</v>
      </c>
      <c r="AC1519" s="1"/>
      <c r="AD1519" s="1"/>
      <c r="AE1519" s="1"/>
      <c r="AF1519" s="1">
        <v>-49.263054</v>
      </c>
      <c r="AG1519" s="1">
        <v>-7.712222</v>
      </c>
      <c r="AH1519" s="1" t="s">
        <v>6362</v>
      </c>
      <c r="AI1519" s="1"/>
      <c r="AJ1519" s="1" t="s">
        <v>386</v>
      </c>
      <c r="AK1519" s="1"/>
      <c r="AL1519" s="1" t="s">
        <v>79</v>
      </c>
      <c r="AM1519" s="1" t="s">
        <v>65</v>
      </c>
      <c r="AN1519" s="1" t="s">
        <v>391</v>
      </c>
      <c r="AO1519" s="2">
        <v>43892.0</v>
      </c>
      <c r="AP1519" s="2">
        <v>43892.4259143519</v>
      </c>
      <c r="AQ1519" s="1" t="s">
        <v>80</v>
      </c>
      <c r="AR1519" s="1" t="s">
        <v>3494</v>
      </c>
      <c r="AS1519" s="1"/>
      <c r="AT1519" s="2">
        <v>44269.931099537</v>
      </c>
    </row>
    <row r="1520" ht="13.5" customHeight="1">
      <c r="A1520" s="1">
        <v>2040692.0</v>
      </c>
      <c r="B1520" s="1" t="s">
        <v>67</v>
      </c>
      <c r="C1520" s="1" t="s">
        <v>68</v>
      </c>
      <c r="D1520" s="1" t="s">
        <v>46</v>
      </c>
      <c r="E1520" s="1" t="s">
        <v>6363</v>
      </c>
      <c r="F1520" s="1"/>
      <c r="G1520" s="1" t="s">
        <v>70</v>
      </c>
      <c r="H1520" s="1" t="s">
        <v>50</v>
      </c>
      <c r="I1520" s="1">
        <v>250.0</v>
      </c>
      <c r="J1520" s="1"/>
      <c r="K1520" s="1"/>
      <c r="L1520" s="1" t="s">
        <v>64</v>
      </c>
      <c r="M1520" s="1" t="s">
        <v>6364</v>
      </c>
      <c r="N1520" s="1" t="s">
        <v>283</v>
      </c>
      <c r="O1520" s="1" t="s">
        <v>978</v>
      </c>
      <c r="P1520" s="2">
        <v>43775.625</v>
      </c>
      <c r="Q1520" s="1" t="s">
        <v>74</v>
      </c>
      <c r="R1520" s="3">
        <v>43787.0</v>
      </c>
      <c r="S1520" s="1"/>
      <c r="T1520" s="1">
        <v>3509502.0</v>
      </c>
      <c r="U1520" s="1" t="s">
        <v>97</v>
      </c>
      <c r="V1520" s="1" t="s">
        <v>58</v>
      </c>
      <c r="W1520" s="1" t="s">
        <v>59</v>
      </c>
      <c r="X1520" s="1"/>
      <c r="Y1520" s="1" t="str">
        <f>"02027022288201919"</f>
        <v>02027022288201919</v>
      </c>
      <c r="Z1520" s="1" t="s">
        <v>980</v>
      </c>
      <c r="AA1520" s="1" t="s">
        <v>6365</v>
      </c>
      <c r="AB1520" s="1" t="str">
        <f t="shared" ref="AB1520:AB1521" si="85">"33033028002047"</f>
        <v>33033028002047</v>
      </c>
      <c r="AC1520" s="1"/>
      <c r="AD1520" s="1"/>
      <c r="AE1520" s="1"/>
      <c r="AF1520" s="1">
        <v>-47.144169</v>
      </c>
      <c r="AG1520" s="1">
        <v>-23.007778</v>
      </c>
      <c r="AH1520" s="1" t="s">
        <v>6366</v>
      </c>
      <c r="AI1520" s="1"/>
      <c r="AJ1520" s="1" t="s">
        <v>64</v>
      </c>
      <c r="AK1520" s="1"/>
      <c r="AL1520" s="1" t="s">
        <v>79</v>
      </c>
      <c r="AM1520" s="1" t="s">
        <v>65</v>
      </c>
      <c r="AN1520" s="1" t="s">
        <v>102</v>
      </c>
      <c r="AO1520" s="2">
        <v>44133.0</v>
      </c>
      <c r="AP1520" s="2">
        <v>44133.7101851852</v>
      </c>
      <c r="AQ1520" s="1" t="s">
        <v>80</v>
      </c>
      <c r="AR1520" s="1" t="s">
        <v>4343</v>
      </c>
      <c r="AS1520" s="1"/>
      <c r="AT1520" s="2">
        <v>44269.931099537</v>
      </c>
    </row>
    <row r="1521" ht="13.5" customHeight="1">
      <c r="A1521" s="1">
        <v>2040693.0</v>
      </c>
      <c r="B1521" s="1" t="s">
        <v>67</v>
      </c>
      <c r="C1521" s="1" t="s">
        <v>68</v>
      </c>
      <c r="D1521" s="1" t="s">
        <v>46</v>
      </c>
      <c r="E1521" s="1" t="s">
        <v>6367</v>
      </c>
      <c r="F1521" s="1"/>
      <c r="G1521" s="1" t="s">
        <v>70</v>
      </c>
      <c r="H1521" s="1" t="s">
        <v>50</v>
      </c>
      <c r="I1521" s="1">
        <v>4000.0</v>
      </c>
      <c r="J1521" s="1"/>
      <c r="K1521" s="1"/>
      <c r="L1521" s="1" t="s">
        <v>64</v>
      </c>
      <c r="M1521" s="1" t="s">
        <v>6368</v>
      </c>
      <c r="N1521" s="1" t="s">
        <v>72</v>
      </c>
      <c r="O1521" s="1" t="s">
        <v>73</v>
      </c>
      <c r="P1521" s="2">
        <v>43775.625</v>
      </c>
      <c r="Q1521" s="1" t="s">
        <v>74</v>
      </c>
      <c r="R1521" s="3">
        <v>43774.0</v>
      </c>
      <c r="S1521" s="1"/>
      <c r="T1521" s="1">
        <v>3509502.0</v>
      </c>
      <c r="U1521" s="1" t="s">
        <v>97</v>
      </c>
      <c r="V1521" s="1" t="s">
        <v>58</v>
      </c>
      <c r="W1521" s="1" t="s">
        <v>59</v>
      </c>
      <c r="X1521" s="1"/>
      <c r="Y1521" s="1" t="str">
        <f>"02027022289201963"</f>
        <v>02027022289201963</v>
      </c>
      <c r="Z1521" s="1" t="s">
        <v>76</v>
      </c>
      <c r="AA1521" s="1" t="s">
        <v>6365</v>
      </c>
      <c r="AB1521" s="1" t="str">
        <f t="shared" si="85"/>
        <v>33033028002047</v>
      </c>
      <c r="AC1521" s="1"/>
      <c r="AD1521" s="1"/>
      <c r="AE1521" s="1"/>
      <c r="AF1521" s="1">
        <v>-47.144169</v>
      </c>
      <c r="AG1521" s="1">
        <v>-23.007778</v>
      </c>
      <c r="AH1521" s="1" t="s">
        <v>3543</v>
      </c>
      <c r="AI1521" s="1"/>
      <c r="AJ1521" s="1" t="s">
        <v>64</v>
      </c>
      <c r="AK1521" s="1"/>
      <c r="AL1521" s="1" t="s">
        <v>79</v>
      </c>
      <c r="AM1521" s="1" t="s">
        <v>65</v>
      </c>
      <c r="AN1521" s="1" t="s">
        <v>102</v>
      </c>
      <c r="AO1521" s="2">
        <v>44133.0</v>
      </c>
      <c r="AP1521" s="2">
        <v>44133.7119560185</v>
      </c>
      <c r="AQ1521" s="1" t="s">
        <v>80</v>
      </c>
      <c r="AR1521" s="1" t="s">
        <v>1072</v>
      </c>
      <c r="AS1521" s="1"/>
      <c r="AT1521" s="2">
        <v>44269.931099537</v>
      </c>
    </row>
    <row r="1522" ht="13.5" customHeight="1">
      <c r="A1522" s="1"/>
      <c r="B1522" s="1" t="s">
        <v>46</v>
      </c>
      <c r="C1522" s="1" t="s">
        <v>47</v>
      </c>
      <c r="D1522" s="1"/>
      <c r="E1522" s="1" t="s">
        <v>6369</v>
      </c>
      <c r="F1522" s="1"/>
      <c r="G1522" s="1"/>
      <c r="H1522" s="1" t="s">
        <v>93</v>
      </c>
      <c r="I1522" s="1">
        <v>12500.0</v>
      </c>
      <c r="J1522" s="1"/>
      <c r="K1522" s="1"/>
      <c r="L1522" s="1"/>
      <c r="M1522" s="1" t="s">
        <v>6370</v>
      </c>
      <c r="N1522" s="1" t="s">
        <v>142</v>
      </c>
      <c r="O1522" s="1" t="s">
        <v>143</v>
      </c>
      <c r="P1522" s="2">
        <v>43775.5890046296</v>
      </c>
      <c r="Q1522" s="1" t="s">
        <v>74</v>
      </c>
      <c r="R1522" s="3">
        <v>43806.0</v>
      </c>
      <c r="S1522" s="1"/>
      <c r="T1522" s="1">
        <v>4117602.0</v>
      </c>
      <c r="U1522" s="1" t="s">
        <v>2155</v>
      </c>
      <c r="V1522" s="1" t="s">
        <v>176</v>
      </c>
      <c r="W1522" s="1" t="s">
        <v>59</v>
      </c>
      <c r="X1522" s="1"/>
      <c r="Y1522" s="1"/>
      <c r="Z1522" s="1" t="s">
        <v>147</v>
      </c>
      <c r="AA1522" s="1" t="s">
        <v>6371</v>
      </c>
      <c r="AB1522" s="1" t="str">
        <f>"***109739**"</f>
        <v>***109739**</v>
      </c>
      <c r="AC1522" s="1"/>
      <c r="AD1522" s="1" t="s">
        <v>116</v>
      </c>
      <c r="AE1522" s="1"/>
      <c r="AF1522" s="1">
        <v>-52.08778</v>
      </c>
      <c r="AG1522" s="1">
        <v>-26.51</v>
      </c>
      <c r="AH1522" s="1" t="s">
        <v>6372</v>
      </c>
      <c r="AI1522" s="1"/>
      <c r="AJ1522" s="1" t="s">
        <v>358</v>
      </c>
      <c r="AK1522" s="1"/>
      <c r="AL1522" s="1"/>
      <c r="AM1522" s="1" t="s">
        <v>65</v>
      </c>
      <c r="AN1522" s="1" t="s">
        <v>359</v>
      </c>
      <c r="AO1522" s="1"/>
      <c r="AP1522" s="2">
        <v>43775.6004166667</v>
      </c>
      <c r="AQ1522" s="1"/>
      <c r="AR1522" s="1" t="s">
        <v>751</v>
      </c>
      <c r="AS1522" s="1"/>
      <c r="AT1522" s="2">
        <v>44269.931099537</v>
      </c>
    </row>
    <row r="1523" ht="13.5" customHeight="1">
      <c r="A1523" s="1">
        <v>2038864.0</v>
      </c>
      <c r="B1523" s="1" t="s">
        <v>67</v>
      </c>
      <c r="C1523" s="1" t="s">
        <v>68</v>
      </c>
      <c r="D1523" s="1" t="s">
        <v>46</v>
      </c>
      <c r="E1523" s="1" t="s">
        <v>6373</v>
      </c>
      <c r="F1523" s="1"/>
      <c r="G1523" s="1" t="s">
        <v>70</v>
      </c>
      <c r="H1523" s="1" t="s">
        <v>93</v>
      </c>
      <c r="I1523" s="1">
        <v>210000.0</v>
      </c>
      <c r="J1523" s="1"/>
      <c r="K1523" s="1"/>
      <c r="L1523" s="1" t="s">
        <v>172</v>
      </c>
      <c r="M1523" s="1" t="s">
        <v>6374</v>
      </c>
      <c r="N1523" s="1" t="s">
        <v>142</v>
      </c>
      <c r="O1523" s="1" t="s">
        <v>143</v>
      </c>
      <c r="P1523" s="2">
        <v>43775.5833333333</v>
      </c>
      <c r="Q1523" s="1" t="s">
        <v>373</v>
      </c>
      <c r="R1523" s="3">
        <v>43775.0</v>
      </c>
      <c r="S1523" s="1"/>
      <c r="T1523" s="1">
        <v>1100338.0</v>
      </c>
      <c r="U1523" s="1" t="s">
        <v>5017</v>
      </c>
      <c r="V1523" s="1" t="s">
        <v>448</v>
      </c>
      <c r="W1523" s="1" t="s">
        <v>177</v>
      </c>
      <c r="X1523" s="1"/>
      <c r="Y1523" s="1" t="str">
        <f>"02001017778202025"</f>
        <v>02001017778202025</v>
      </c>
      <c r="Z1523" s="1" t="s">
        <v>147</v>
      </c>
      <c r="AA1523" s="1" t="s">
        <v>6335</v>
      </c>
      <c r="AB1523" s="1" t="str">
        <f>"***981262**"</f>
        <v>***981262**</v>
      </c>
      <c r="AC1523" s="1"/>
      <c r="AD1523" s="1"/>
      <c r="AE1523" s="1"/>
      <c r="AF1523" s="1">
        <v>-65.132225</v>
      </c>
      <c r="AG1523" s="1">
        <v>-9.999166</v>
      </c>
      <c r="AH1523" s="1" t="s">
        <v>6375</v>
      </c>
      <c r="AI1523" s="1"/>
      <c r="AJ1523" s="1" t="s">
        <v>172</v>
      </c>
      <c r="AK1523" s="1"/>
      <c r="AL1523" s="1" t="s">
        <v>79</v>
      </c>
      <c r="AM1523" s="1" t="s">
        <v>65</v>
      </c>
      <c r="AN1523" s="1" t="s">
        <v>1395</v>
      </c>
      <c r="AO1523" s="2">
        <v>44047.0</v>
      </c>
      <c r="AP1523" s="2">
        <v>44047.3640277778</v>
      </c>
      <c r="AQ1523" s="1" t="s">
        <v>80</v>
      </c>
      <c r="AR1523" s="1" t="s">
        <v>6376</v>
      </c>
      <c r="AS1523" s="1"/>
      <c r="AT1523" s="2">
        <v>44269.931099537</v>
      </c>
    </row>
    <row r="1524" ht="13.5" customHeight="1">
      <c r="A1524" s="1"/>
      <c r="B1524" s="1" t="s">
        <v>46</v>
      </c>
      <c r="C1524" s="1" t="s">
        <v>47</v>
      </c>
      <c r="D1524" s="1"/>
      <c r="E1524" s="1" t="s">
        <v>6377</v>
      </c>
      <c r="F1524" s="1"/>
      <c r="G1524" s="1" t="s">
        <v>49</v>
      </c>
      <c r="H1524" s="1" t="s">
        <v>50</v>
      </c>
      <c r="I1524" s="1">
        <v>4000.0</v>
      </c>
      <c r="J1524" s="1"/>
      <c r="K1524" s="1" t="s">
        <v>51</v>
      </c>
      <c r="L1524" s="1"/>
      <c r="M1524" s="1" t="s">
        <v>6378</v>
      </c>
      <c r="N1524" s="1" t="s">
        <v>123</v>
      </c>
      <c r="O1524" s="1" t="s">
        <v>73</v>
      </c>
      <c r="P1524" s="2">
        <v>43775.5808680556</v>
      </c>
      <c r="Q1524" s="1" t="s">
        <v>74</v>
      </c>
      <c r="R1524" s="3">
        <v>43782.0</v>
      </c>
      <c r="S1524" s="1"/>
      <c r="T1524" s="1">
        <v>3509502.0</v>
      </c>
      <c r="U1524" s="1" t="s">
        <v>97</v>
      </c>
      <c r="V1524" s="1" t="s">
        <v>58</v>
      </c>
      <c r="W1524" s="1" t="s">
        <v>59</v>
      </c>
      <c r="X1524" s="1"/>
      <c r="Y1524" s="1"/>
      <c r="Z1524" s="1" t="s">
        <v>76</v>
      </c>
      <c r="AA1524" s="1" t="s">
        <v>6379</v>
      </c>
      <c r="AB1524" s="1" t="str">
        <f t="shared" ref="AB1524:AB1525" si="86">"10588595000797"</f>
        <v>10588595000797</v>
      </c>
      <c r="AC1524" s="1"/>
      <c r="AD1524" s="1" t="s">
        <v>62</v>
      </c>
      <c r="AE1524" s="1"/>
      <c r="AF1524" s="1">
        <v>-47.144169</v>
      </c>
      <c r="AG1524" s="1">
        <v>-23.007778</v>
      </c>
      <c r="AH1524" s="1" t="s">
        <v>3528</v>
      </c>
      <c r="AI1524" s="1"/>
      <c r="AJ1524" s="1" t="s">
        <v>64</v>
      </c>
      <c r="AK1524" s="1"/>
      <c r="AL1524" s="1"/>
      <c r="AM1524" s="1" t="s">
        <v>65</v>
      </c>
      <c r="AN1524" s="1" t="s">
        <v>102</v>
      </c>
      <c r="AO1524" s="1"/>
      <c r="AP1524" s="2">
        <v>44000.4755092593</v>
      </c>
      <c r="AQ1524" s="1"/>
      <c r="AR1524" s="1" t="s">
        <v>494</v>
      </c>
      <c r="AS1524" s="1"/>
      <c r="AT1524" s="2">
        <v>44269.931099537</v>
      </c>
    </row>
    <row r="1525" ht="13.5" customHeight="1">
      <c r="A1525" s="1"/>
      <c r="B1525" s="1" t="s">
        <v>46</v>
      </c>
      <c r="C1525" s="1" t="s">
        <v>47</v>
      </c>
      <c r="D1525" s="1"/>
      <c r="E1525" s="1" t="s">
        <v>6380</v>
      </c>
      <c r="F1525" s="1"/>
      <c r="G1525" s="1" t="s">
        <v>5034</v>
      </c>
      <c r="H1525" s="1" t="s">
        <v>50</v>
      </c>
      <c r="I1525" s="1">
        <v>250.0</v>
      </c>
      <c r="J1525" s="1"/>
      <c r="K1525" s="1" t="s">
        <v>51</v>
      </c>
      <c r="L1525" s="1"/>
      <c r="M1525" s="1" t="s">
        <v>6381</v>
      </c>
      <c r="N1525" s="1" t="s">
        <v>977</v>
      </c>
      <c r="O1525" s="1" t="s">
        <v>978</v>
      </c>
      <c r="P1525" s="2">
        <v>43775.5661342593</v>
      </c>
      <c r="Q1525" s="1" t="s">
        <v>74</v>
      </c>
      <c r="R1525" s="3">
        <v>43782.0</v>
      </c>
      <c r="S1525" s="1"/>
      <c r="T1525" s="1">
        <v>3509502.0</v>
      </c>
      <c r="U1525" s="1" t="s">
        <v>97</v>
      </c>
      <c r="V1525" s="1" t="s">
        <v>58</v>
      </c>
      <c r="W1525" s="1" t="s">
        <v>59</v>
      </c>
      <c r="X1525" s="1"/>
      <c r="Y1525" s="1"/>
      <c r="Z1525" s="1" t="s">
        <v>980</v>
      </c>
      <c r="AA1525" s="1" t="s">
        <v>6379</v>
      </c>
      <c r="AB1525" s="1" t="str">
        <f t="shared" si="86"/>
        <v>10588595000797</v>
      </c>
      <c r="AC1525" s="1"/>
      <c r="AD1525" s="1" t="s">
        <v>62</v>
      </c>
      <c r="AE1525" s="1"/>
      <c r="AF1525" s="1">
        <v>-47.144169</v>
      </c>
      <c r="AG1525" s="1">
        <v>-23.007778</v>
      </c>
      <c r="AH1525" s="1" t="s">
        <v>3528</v>
      </c>
      <c r="AI1525" s="1"/>
      <c r="AJ1525" s="1" t="s">
        <v>64</v>
      </c>
      <c r="AK1525" s="1"/>
      <c r="AL1525" s="1"/>
      <c r="AM1525" s="1" t="s">
        <v>65</v>
      </c>
      <c r="AN1525" s="1" t="s">
        <v>102</v>
      </c>
      <c r="AO1525" s="1"/>
      <c r="AP1525" s="2">
        <v>44000.475625</v>
      </c>
      <c r="AQ1525" s="1"/>
      <c r="AR1525" s="1" t="s">
        <v>984</v>
      </c>
      <c r="AS1525" s="1"/>
      <c r="AT1525" s="2">
        <v>44269.931099537</v>
      </c>
    </row>
    <row r="1526" ht="13.5" customHeight="1">
      <c r="A1526" s="1">
        <v>2040232.0</v>
      </c>
      <c r="B1526" s="1" t="s">
        <v>67</v>
      </c>
      <c r="C1526" s="1" t="s">
        <v>68</v>
      </c>
      <c r="D1526" s="1" t="s">
        <v>46</v>
      </c>
      <c r="E1526" s="1" t="s">
        <v>6382</v>
      </c>
      <c r="F1526" s="1"/>
      <c r="G1526" s="1" t="s">
        <v>70</v>
      </c>
      <c r="H1526" s="1" t="s">
        <v>50</v>
      </c>
      <c r="I1526" s="1">
        <v>250.0</v>
      </c>
      <c r="J1526" s="1"/>
      <c r="K1526" s="1"/>
      <c r="L1526" s="1" t="s">
        <v>64</v>
      </c>
      <c r="M1526" s="1" t="s">
        <v>6383</v>
      </c>
      <c r="N1526" s="1" t="s">
        <v>283</v>
      </c>
      <c r="O1526" s="1" t="s">
        <v>978</v>
      </c>
      <c r="P1526" s="2">
        <v>43775.5416666667</v>
      </c>
      <c r="Q1526" s="1" t="s">
        <v>74</v>
      </c>
      <c r="R1526" s="3">
        <v>43782.0</v>
      </c>
      <c r="S1526" s="1"/>
      <c r="T1526" s="1">
        <v>3509502.0</v>
      </c>
      <c r="U1526" s="1" t="s">
        <v>97</v>
      </c>
      <c r="V1526" s="1" t="s">
        <v>58</v>
      </c>
      <c r="W1526" s="1" t="s">
        <v>59</v>
      </c>
      <c r="X1526" s="1"/>
      <c r="Y1526" s="1" t="str">
        <f>"02027022286201920"</f>
        <v>02027022286201920</v>
      </c>
      <c r="Z1526" s="1" t="s">
        <v>980</v>
      </c>
      <c r="AA1526" s="1" t="s">
        <v>6384</v>
      </c>
      <c r="AB1526" s="1" t="str">
        <f t="shared" ref="AB1526:AB1527" si="87">"16629151000143"</f>
        <v>16629151000143</v>
      </c>
      <c r="AC1526" s="1"/>
      <c r="AD1526" s="1"/>
      <c r="AE1526" s="1"/>
      <c r="AF1526" s="1">
        <v>-47.144169</v>
      </c>
      <c r="AG1526" s="1">
        <v>-23.007778</v>
      </c>
      <c r="AH1526" s="1" t="s">
        <v>6366</v>
      </c>
      <c r="AI1526" s="1"/>
      <c r="AJ1526" s="1" t="s">
        <v>64</v>
      </c>
      <c r="AK1526" s="1"/>
      <c r="AL1526" s="1" t="s">
        <v>79</v>
      </c>
      <c r="AM1526" s="1" t="s">
        <v>65</v>
      </c>
      <c r="AN1526" s="1" t="s">
        <v>102</v>
      </c>
      <c r="AO1526" s="2">
        <v>44118.0</v>
      </c>
      <c r="AP1526" s="2">
        <v>44118.397662037</v>
      </c>
      <c r="AQ1526" s="1" t="s">
        <v>80</v>
      </c>
      <c r="AR1526" s="1" t="s">
        <v>4343</v>
      </c>
      <c r="AS1526" s="1"/>
      <c r="AT1526" s="2">
        <v>44269.931099537</v>
      </c>
    </row>
    <row r="1527" ht="13.5" customHeight="1">
      <c r="A1527" s="1">
        <v>2040318.0</v>
      </c>
      <c r="B1527" s="1" t="s">
        <v>67</v>
      </c>
      <c r="C1527" s="1" t="s">
        <v>68</v>
      </c>
      <c r="D1527" s="1" t="s">
        <v>46</v>
      </c>
      <c r="E1527" s="1" t="s">
        <v>6385</v>
      </c>
      <c r="F1527" s="1"/>
      <c r="G1527" s="1" t="s">
        <v>70</v>
      </c>
      <c r="H1527" s="1" t="s">
        <v>50</v>
      </c>
      <c r="I1527" s="1">
        <v>1000.0</v>
      </c>
      <c r="J1527" s="1"/>
      <c r="K1527" s="1"/>
      <c r="L1527" s="1" t="s">
        <v>64</v>
      </c>
      <c r="M1527" s="1" t="s">
        <v>6386</v>
      </c>
      <c r="N1527" s="1" t="s">
        <v>72</v>
      </c>
      <c r="O1527" s="1" t="s">
        <v>73</v>
      </c>
      <c r="P1527" s="2">
        <v>43775.5416666667</v>
      </c>
      <c r="Q1527" s="1" t="s">
        <v>74</v>
      </c>
      <c r="R1527" s="3">
        <v>43782.0</v>
      </c>
      <c r="S1527" s="1"/>
      <c r="T1527" s="1">
        <v>3509502.0</v>
      </c>
      <c r="U1527" s="1" t="s">
        <v>97</v>
      </c>
      <c r="V1527" s="1" t="s">
        <v>58</v>
      </c>
      <c r="W1527" s="1" t="s">
        <v>59</v>
      </c>
      <c r="X1527" s="1"/>
      <c r="Y1527" s="1" t="str">
        <f>"02027022287201974"</f>
        <v>02027022287201974</v>
      </c>
      <c r="Z1527" s="1" t="s">
        <v>76</v>
      </c>
      <c r="AA1527" s="1" t="s">
        <v>6384</v>
      </c>
      <c r="AB1527" s="1" t="str">
        <f t="shared" si="87"/>
        <v>16629151000143</v>
      </c>
      <c r="AC1527" s="1"/>
      <c r="AD1527" s="1"/>
      <c r="AE1527" s="1"/>
      <c r="AF1527" s="1">
        <v>-47.144169</v>
      </c>
      <c r="AG1527" s="1">
        <v>-23.007778</v>
      </c>
      <c r="AH1527" s="1" t="s">
        <v>6366</v>
      </c>
      <c r="AI1527" s="1"/>
      <c r="AJ1527" s="1" t="s">
        <v>64</v>
      </c>
      <c r="AK1527" s="1"/>
      <c r="AL1527" s="1" t="s">
        <v>79</v>
      </c>
      <c r="AM1527" s="1" t="s">
        <v>65</v>
      </c>
      <c r="AN1527" s="1" t="s">
        <v>102</v>
      </c>
      <c r="AO1527" s="2">
        <v>44119.0</v>
      </c>
      <c r="AP1527" s="2">
        <v>44119.8223842593</v>
      </c>
      <c r="AQ1527" s="1" t="s">
        <v>80</v>
      </c>
      <c r="AR1527" s="1" t="s">
        <v>1072</v>
      </c>
      <c r="AS1527" s="1"/>
      <c r="AT1527" s="2">
        <v>44269.931099537</v>
      </c>
    </row>
    <row r="1528" ht="13.5" customHeight="1">
      <c r="A1528" s="1">
        <v>2042692.0</v>
      </c>
      <c r="B1528" s="1" t="s">
        <v>67</v>
      </c>
      <c r="C1528" s="1" t="s">
        <v>68</v>
      </c>
      <c r="D1528" s="1" t="s">
        <v>46</v>
      </c>
      <c r="E1528" s="1" t="s">
        <v>6387</v>
      </c>
      <c r="F1528" s="1"/>
      <c r="G1528" s="1" t="s">
        <v>70</v>
      </c>
      <c r="H1528" s="1" t="s">
        <v>93</v>
      </c>
      <c r="I1528" s="1">
        <v>1000.0</v>
      </c>
      <c r="J1528" s="1"/>
      <c r="K1528" s="1"/>
      <c r="L1528" s="1" t="s">
        <v>1040</v>
      </c>
      <c r="M1528" s="1" t="s">
        <v>6153</v>
      </c>
      <c r="N1528" s="1" t="s">
        <v>72</v>
      </c>
      <c r="O1528" s="1" t="s">
        <v>213</v>
      </c>
      <c r="P1528" s="2">
        <v>43775.5416666667</v>
      </c>
      <c r="Q1528" s="1" t="s">
        <v>55</v>
      </c>
      <c r="R1528" s="1"/>
      <c r="S1528" s="1"/>
      <c r="T1528" s="1">
        <v>2615607.0</v>
      </c>
      <c r="U1528" s="1" t="s">
        <v>5422</v>
      </c>
      <c r="V1528" s="1" t="s">
        <v>1037</v>
      </c>
      <c r="W1528" s="1" t="s">
        <v>113</v>
      </c>
      <c r="X1528" s="1"/>
      <c r="Y1528" s="1" t="str">
        <f>"02019003786201961"</f>
        <v>02019003786201961</v>
      </c>
      <c r="Z1528" s="1" t="s">
        <v>215</v>
      </c>
      <c r="AA1528" s="1" t="s">
        <v>6388</v>
      </c>
      <c r="AB1528" s="1" t="str">
        <f>"08541421000131"</f>
        <v>08541421000131</v>
      </c>
      <c r="AC1528" s="1"/>
      <c r="AD1528" s="1"/>
      <c r="AE1528" s="1"/>
      <c r="AF1528" s="1">
        <v>-40.317223</v>
      </c>
      <c r="AG1528" s="1">
        <v>-7.833333</v>
      </c>
      <c r="AH1528" s="1" t="s">
        <v>6389</v>
      </c>
      <c r="AI1528" s="1"/>
      <c r="AJ1528" s="1" t="s">
        <v>1040</v>
      </c>
      <c r="AK1528" s="1"/>
      <c r="AL1528" s="1" t="s">
        <v>79</v>
      </c>
      <c r="AM1528" s="1" t="s">
        <v>65</v>
      </c>
      <c r="AN1528" s="1" t="s">
        <v>1279</v>
      </c>
      <c r="AO1528" s="2">
        <v>44215.0</v>
      </c>
      <c r="AP1528" s="2">
        <v>44215.7406712963</v>
      </c>
      <c r="AQ1528" s="1" t="s">
        <v>80</v>
      </c>
      <c r="AR1528" s="1" t="s">
        <v>909</v>
      </c>
      <c r="AS1528" s="1"/>
      <c r="AT1528" s="2">
        <v>44269.931099537</v>
      </c>
    </row>
    <row r="1529" ht="13.5" customHeight="1">
      <c r="A1529" s="1">
        <v>2043830.0</v>
      </c>
      <c r="B1529" s="1" t="s">
        <v>67</v>
      </c>
      <c r="C1529" s="1" t="s">
        <v>68</v>
      </c>
      <c r="D1529" s="1" t="s">
        <v>46</v>
      </c>
      <c r="E1529" s="1" t="s">
        <v>6390</v>
      </c>
      <c r="F1529" s="1"/>
      <c r="G1529" s="1" t="s">
        <v>70</v>
      </c>
      <c r="H1529" s="1" t="s">
        <v>50</v>
      </c>
      <c r="I1529" s="1">
        <v>2000.0</v>
      </c>
      <c r="J1529" s="1"/>
      <c r="K1529" s="1"/>
      <c r="L1529" s="1" t="s">
        <v>64</v>
      </c>
      <c r="M1529" s="1" t="s">
        <v>6386</v>
      </c>
      <c r="N1529" s="1" t="s">
        <v>72</v>
      </c>
      <c r="O1529" s="1" t="s">
        <v>73</v>
      </c>
      <c r="P1529" s="2">
        <v>43775.5416666667</v>
      </c>
      <c r="Q1529" s="1" t="s">
        <v>74</v>
      </c>
      <c r="R1529" s="3">
        <v>43822.0</v>
      </c>
      <c r="S1529" s="1"/>
      <c r="T1529" s="1">
        <v>3509502.0</v>
      </c>
      <c r="U1529" s="1" t="s">
        <v>97</v>
      </c>
      <c r="V1529" s="1" t="s">
        <v>58</v>
      </c>
      <c r="W1529" s="1" t="s">
        <v>59</v>
      </c>
      <c r="X1529" s="1"/>
      <c r="Y1529" s="1" t="str">
        <f>"02027002651202013"</f>
        <v>02027002651202013</v>
      </c>
      <c r="Z1529" s="1" t="s">
        <v>76</v>
      </c>
      <c r="AA1529" s="1" t="s">
        <v>6391</v>
      </c>
      <c r="AB1529" s="1" t="str">
        <f>"05778115000125"</f>
        <v>05778115000125</v>
      </c>
      <c r="AC1529" s="1"/>
      <c r="AD1529" s="1"/>
      <c r="AE1529" s="1"/>
      <c r="AF1529" s="1">
        <v>-47.144169</v>
      </c>
      <c r="AG1529" s="1">
        <v>-23.007778</v>
      </c>
      <c r="AH1529" s="1" t="s">
        <v>3543</v>
      </c>
      <c r="AI1529" s="1"/>
      <c r="AJ1529" s="1" t="s">
        <v>64</v>
      </c>
      <c r="AK1529" s="1"/>
      <c r="AL1529" s="1" t="s">
        <v>79</v>
      </c>
      <c r="AM1529" s="1" t="s">
        <v>65</v>
      </c>
      <c r="AN1529" s="1" t="s">
        <v>102</v>
      </c>
      <c r="AO1529" s="2">
        <v>44253.0</v>
      </c>
      <c r="AP1529" s="2">
        <v>44253.7538541667</v>
      </c>
      <c r="AQ1529" s="1" t="s">
        <v>80</v>
      </c>
      <c r="AR1529" s="1" t="s">
        <v>1072</v>
      </c>
      <c r="AS1529" s="1"/>
      <c r="AT1529" s="2">
        <v>44269.931099537</v>
      </c>
    </row>
    <row r="1530" ht="13.5" customHeight="1">
      <c r="A1530" s="1">
        <v>2042691.0</v>
      </c>
      <c r="B1530" s="1" t="s">
        <v>67</v>
      </c>
      <c r="C1530" s="1" t="s">
        <v>68</v>
      </c>
      <c r="D1530" s="1" t="s">
        <v>46</v>
      </c>
      <c r="E1530" s="1" t="s">
        <v>6392</v>
      </c>
      <c r="F1530" s="1"/>
      <c r="G1530" s="1" t="s">
        <v>70</v>
      </c>
      <c r="H1530" s="1" t="s">
        <v>93</v>
      </c>
      <c r="I1530" s="1">
        <v>10500.0</v>
      </c>
      <c r="J1530" s="1"/>
      <c r="K1530" s="1"/>
      <c r="L1530" s="1" t="s">
        <v>1040</v>
      </c>
      <c r="M1530" s="1" t="s">
        <v>6393</v>
      </c>
      <c r="N1530" s="1" t="s">
        <v>72</v>
      </c>
      <c r="O1530" s="1" t="s">
        <v>213</v>
      </c>
      <c r="P1530" s="2">
        <v>43775.5</v>
      </c>
      <c r="Q1530" s="1" t="s">
        <v>55</v>
      </c>
      <c r="R1530" s="1"/>
      <c r="S1530" s="1"/>
      <c r="T1530" s="1">
        <v>2615607.0</v>
      </c>
      <c r="U1530" s="1" t="s">
        <v>5422</v>
      </c>
      <c r="V1530" s="1" t="s">
        <v>1037</v>
      </c>
      <c r="W1530" s="1" t="s">
        <v>113</v>
      </c>
      <c r="X1530" s="1"/>
      <c r="Y1530" s="1" t="str">
        <f>"02019000273202032"</f>
        <v>02019000273202032</v>
      </c>
      <c r="Z1530" s="1" t="s">
        <v>215</v>
      </c>
      <c r="AA1530" s="1" t="s">
        <v>6394</v>
      </c>
      <c r="AB1530" s="1" t="str">
        <f>"17290686000103"</f>
        <v>17290686000103</v>
      </c>
      <c r="AC1530" s="1"/>
      <c r="AD1530" s="1"/>
      <c r="AE1530" s="1"/>
      <c r="AF1530" s="1">
        <v>-40.081944</v>
      </c>
      <c r="AG1530" s="1">
        <v>-7.886111</v>
      </c>
      <c r="AH1530" s="1" t="s">
        <v>6395</v>
      </c>
      <c r="AI1530" s="1"/>
      <c r="AJ1530" s="1" t="s">
        <v>1040</v>
      </c>
      <c r="AK1530" s="1"/>
      <c r="AL1530" s="1" t="s">
        <v>79</v>
      </c>
      <c r="AM1530" s="1" t="s">
        <v>65</v>
      </c>
      <c r="AN1530" s="1" t="s">
        <v>1279</v>
      </c>
      <c r="AO1530" s="2">
        <v>44215.0</v>
      </c>
      <c r="AP1530" s="2">
        <v>44215.7405787037</v>
      </c>
      <c r="AQ1530" s="1" t="s">
        <v>80</v>
      </c>
      <c r="AR1530" s="1" t="s">
        <v>909</v>
      </c>
      <c r="AS1530" s="1"/>
      <c r="AT1530" s="2">
        <v>44269.931099537</v>
      </c>
    </row>
    <row r="1531" ht="13.5" customHeight="1">
      <c r="A1531" s="1"/>
      <c r="B1531" s="1" t="s">
        <v>46</v>
      </c>
      <c r="C1531" s="1" t="s">
        <v>47</v>
      </c>
      <c r="D1531" s="1"/>
      <c r="E1531" s="1" t="s">
        <v>6396</v>
      </c>
      <c r="F1531" s="1"/>
      <c r="G1531" s="1"/>
      <c r="H1531" s="1" t="s">
        <v>93</v>
      </c>
      <c r="I1531" s="1">
        <v>11730.6</v>
      </c>
      <c r="J1531" s="1"/>
      <c r="K1531" s="1"/>
      <c r="L1531" s="1"/>
      <c r="M1531" s="1" t="s">
        <v>6397</v>
      </c>
      <c r="N1531" s="1" t="s">
        <v>142</v>
      </c>
      <c r="O1531" s="1" t="s">
        <v>143</v>
      </c>
      <c r="P1531" s="2">
        <v>43775.4667476852</v>
      </c>
      <c r="Q1531" s="1" t="s">
        <v>55</v>
      </c>
      <c r="R1531" s="1"/>
      <c r="S1531" s="1"/>
      <c r="T1531" s="1">
        <v>2105302.0</v>
      </c>
      <c r="U1531" s="1" t="s">
        <v>539</v>
      </c>
      <c r="V1531" s="1" t="s">
        <v>540</v>
      </c>
      <c r="W1531" s="1" t="s">
        <v>177</v>
      </c>
      <c r="X1531" s="1"/>
      <c r="Y1531" s="1"/>
      <c r="Z1531" s="1" t="s">
        <v>147</v>
      </c>
      <c r="AA1531" s="1" t="s">
        <v>6398</v>
      </c>
      <c r="AB1531" s="1" t="str">
        <f>"13977055000106"</f>
        <v>13977055000106</v>
      </c>
      <c r="AC1531" s="1"/>
      <c r="AD1531" s="1" t="s">
        <v>62</v>
      </c>
      <c r="AE1531" s="1"/>
      <c r="AF1531" s="1">
        <v>-47.4725</v>
      </c>
      <c r="AG1531" s="1">
        <v>-5.455277</v>
      </c>
      <c r="AH1531" s="1" t="s">
        <v>6399</v>
      </c>
      <c r="AI1531" s="1"/>
      <c r="AJ1531" s="1" t="s">
        <v>6400</v>
      </c>
      <c r="AK1531" s="1"/>
      <c r="AL1531" s="1"/>
      <c r="AM1531" s="1"/>
      <c r="AN1531" s="1" t="s">
        <v>543</v>
      </c>
      <c r="AO1531" s="1"/>
      <c r="AP1531" s="2">
        <v>43775.578587963</v>
      </c>
      <c r="AQ1531" s="1"/>
      <c r="AR1531" s="1" t="s">
        <v>280</v>
      </c>
      <c r="AS1531" s="1"/>
      <c r="AT1531" s="2">
        <v>44269.931099537</v>
      </c>
    </row>
    <row r="1532" ht="13.5" customHeight="1">
      <c r="A1532" s="1"/>
      <c r="B1532" s="1" t="s">
        <v>46</v>
      </c>
      <c r="C1532" s="1" t="s">
        <v>47</v>
      </c>
      <c r="D1532" s="1"/>
      <c r="E1532" s="1" t="s">
        <v>6401</v>
      </c>
      <c r="F1532" s="1"/>
      <c r="G1532" s="1"/>
      <c r="H1532" s="1" t="s">
        <v>50</v>
      </c>
      <c r="I1532" s="1">
        <v>9000.0</v>
      </c>
      <c r="J1532" s="1"/>
      <c r="K1532" s="1" t="s">
        <v>51</v>
      </c>
      <c r="L1532" s="1"/>
      <c r="M1532" s="1" t="s">
        <v>6402</v>
      </c>
      <c r="N1532" s="1" t="s">
        <v>123</v>
      </c>
      <c r="O1532" s="1" t="s">
        <v>73</v>
      </c>
      <c r="P1532" s="2">
        <v>43775.4604976852</v>
      </c>
      <c r="Q1532" s="1" t="s">
        <v>373</v>
      </c>
      <c r="R1532" s="1"/>
      <c r="S1532" s="1"/>
      <c r="T1532" s="1">
        <v>5300108.0</v>
      </c>
      <c r="U1532" s="1" t="s">
        <v>1541</v>
      </c>
      <c r="V1532" s="1" t="s">
        <v>1542</v>
      </c>
      <c r="W1532" s="1" t="s">
        <v>127</v>
      </c>
      <c r="X1532" s="1"/>
      <c r="Y1532" s="1"/>
      <c r="Z1532" s="1" t="s">
        <v>76</v>
      </c>
      <c r="AA1532" s="1" t="s">
        <v>6403</v>
      </c>
      <c r="AB1532" s="1" t="str">
        <f>"***464334**"</f>
        <v>***464334**</v>
      </c>
      <c r="AC1532" s="1"/>
      <c r="AD1532" s="1" t="s">
        <v>62</v>
      </c>
      <c r="AE1532" s="1"/>
      <c r="AF1532" s="1">
        <v>-47.861942</v>
      </c>
      <c r="AG1532" s="1">
        <v>-15.767222</v>
      </c>
      <c r="AH1532" s="1" t="s">
        <v>6404</v>
      </c>
      <c r="AI1532" s="1"/>
      <c r="AJ1532" s="1" t="s">
        <v>172</v>
      </c>
      <c r="AK1532" s="1"/>
      <c r="AL1532" s="1"/>
      <c r="AM1532" s="1" t="s">
        <v>65</v>
      </c>
      <c r="AN1532" s="1" t="s">
        <v>3580</v>
      </c>
      <c r="AO1532" s="1"/>
      <c r="AP1532" s="2">
        <v>43775.5001273148</v>
      </c>
      <c r="AQ1532" s="1"/>
      <c r="AR1532" s="1" t="s">
        <v>6405</v>
      </c>
      <c r="AS1532" s="1"/>
      <c r="AT1532" s="2">
        <v>44269.931099537</v>
      </c>
    </row>
    <row r="1533" ht="13.5" customHeight="1">
      <c r="A1533" s="1"/>
      <c r="B1533" s="1" t="s">
        <v>46</v>
      </c>
      <c r="C1533" s="1" t="s">
        <v>47</v>
      </c>
      <c r="D1533" s="1"/>
      <c r="E1533" s="1" t="s">
        <v>6406</v>
      </c>
      <c r="F1533" s="1"/>
      <c r="G1533" s="1"/>
      <c r="H1533" s="1" t="s">
        <v>93</v>
      </c>
      <c r="I1533" s="1">
        <v>7070.1</v>
      </c>
      <c r="J1533" s="1"/>
      <c r="K1533" s="1"/>
      <c r="L1533" s="1"/>
      <c r="M1533" s="1" t="s">
        <v>6407</v>
      </c>
      <c r="N1533" s="1" t="s">
        <v>142</v>
      </c>
      <c r="O1533" s="1" t="s">
        <v>143</v>
      </c>
      <c r="P1533" s="2">
        <v>43775.4599189815</v>
      </c>
      <c r="Q1533" s="1" t="s">
        <v>373</v>
      </c>
      <c r="R1533" s="1"/>
      <c r="S1533" s="1"/>
      <c r="T1533" s="1">
        <v>3122306.0</v>
      </c>
      <c r="U1533" s="1" t="s">
        <v>6408</v>
      </c>
      <c r="V1533" s="1" t="s">
        <v>126</v>
      </c>
      <c r="W1533" s="1" t="s">
        <v>127</v>
      </c>
      <c r="X1533" s="1"/>
      <c r="Y1533" s="1"/>
      <c r="Z1533" s="1" t="s">
        <v>147</v>
      </c>
      <c r="AA1533" s="1" t="s">
        <v>6409</v>
      </c>
      <c r="AB1533" s="1" t="str">
        <f>"10318465000149"</f>
        <v>10318465000149</v>
      </c>
      <c r="AC1533" s="1"/>
      <c r="AD1533" s="1" t="s">
        <v>62</v>
      </c>
      <c r="AE1533" s="1"/>
      <c r="AF1533" s="1">
        <v>-44.839722</v>
      </c>
      <c r="AG1533" s="1">
        <v>-20.127501</v>
      </c>
      <c r="AH1533" s="1" t="s">
        <v>6410</v>
      </c>
      <c r="AI1533" s="1"/>
      <c r="AJ1533" s="1" t="s">
        <v>131</v>
      </c>
      <c r="AK1533" s="1"/>
      <c r="AL1533" s="1"/>
      <c r="AM1533" s="1" t="s">
        <v>65</v>
      </c>
      <c r="AN1533" s="1" t="s">
        <v>132</v>
      </c>
      <c r="AO1533" s="1"/>
      <c r="AP1533" s="2">
        <v>43775.4746990741</v>
      </c>
      <c r="AQ1533" s="1"/>
      <c r="AR1533" s="1" t="s">
        <v>6411</v>
      </c>
      <c r="AS1533" s="1"/>
      <c r="AT1533" s="2">
        <v>44269.931099537</v>
      </c>
    </row>
    <row r="1534" ht="13.5" customHeight="1">
      <c r="A1534" s="1"/>
      <c r="B1534" s="1" t="s">
        <v>46</v>
      </c>
      <c r="C1534" s="1" t="s">
        <v>47</v>
      </c>
      <c r="D1534" s="1"/>
      <c r="E1534" s="1" t="s">
        <v>6412</v>
      </c>
      <c r="F1534" s="1"/>
      <c r="G1534" s="1" t="s">
        <v>49</v>
      </c>
      <c r="H1534" s="1" t="s">
        <v>93</v>
      </c>
      <c r="I1534" s="1">
        <v>279150.0</v>
      </c>
      <c r="J1534" s="1"/>
      <c r="K1534" s="1"/>
      <c r="L1534" s="1"/>
      <c r="M1534" s="1" t="s">
        <v>6413</v>
      </c>
      <c r="N1534" s="1" t="s">
        <v>142</v>
      </c>
      <c r="O1534" s="1" t="s">
        <v>143</v>
      </c>
      <c r="P1534" s="2">
        <v>43775.4438541667</v>
      </c>
      <c r="Q1534" s="1" t="s">
        <v>74</v>
      </c>
      <c r="R1534" s="3">
        <v>43780.0</v>
      </c>
      <c r="S1534" s="1"/>
      <c r="T1534" s="1">
        <v>1507300.0</v>
      </c>
      <c r="U1534" s="1" t="s">
        <v>3161</v>
      </c>
      <c r="V1534" s="1" t="s">
        <v>193</v>
      </c>
      <c r="W1534" s="1" t="s">
        <v>177</v>
      </c>
      <c r="X1534" s="1"/>
      <c r="Y1534" s="1"/>
      <c r="Z1534" s="1" t="s">
        <v>147</v>
      </c>
      <c r="AA1534" s="1" t="s">
        <v>6414</v>
      </c>
      <c r="AB1534" s="1" t="str">
        <f>"***950901**"</f>
        <v>***950901**</v>
      </c>
      <c r="AC1534" s="1"/>
      <c r="AD1534" s="1" t="s">
        <v>116</v>
      </c>
      <c r="AE1534" s="1"/>
      <c r="AF1534" s="1">
        <v>-52.341889</v>
      </c>
      <c r="AG1534" s="1">
        <v>-7.040278</v>
      </c>
      <c r="AH1534" s="1" t="s">
        <v>6415</v>
      </c>
      <c r="AI1534" s="1"/>
      <c r="AJ1534" s="1" t="s">
        <v>172</v>
      </c>
      <c r="AK1534" s="1"/>
      <c r="AL1534" s="1"/>
      <c r="AM1534" s="1" t="s">
        <v>65</v>
      </c>
      <c r="AN1534" s="1" t="s">
        <v>2164</v>
      </c>
      <c r="AO1534" s="1"/>
      <c r="AP1534" s="2">
        <v>44215.6772800926</v>
      </c>
      <c r="AQ1534" s="1"/>
      <c r="AR1534" s="1" t="s">
        <v>871</v>
      </c>
      <c r="AS1534" s="1"/>
      <c r="AT1534" s="2">
        <v>44269.931099537</v>
      </c>
    </row>
    <row r="1535" ht="13.5" customHeight="1">
      <c r="A1535" s="1">
        <v>2035044.0</v>
      </c>
      <c r="B1535" s="1" t="s">
        <v>67</v>
      </c>
      <c r="C1535" s="1" t="s">
        <v>68</v>
      </c>
      <c r="D1535" s="1" t="s">
        <v>46</v>
      </c>
      <c r="E1535" s="1" t="s">
        <v>6416</v>
      </c>
      <c r="F1535" s="1"/>
      <c r="G1535" s="1" t="s">
        <v>70</v>
      </c>
      <c r="H1535" s="1" t="s">
        <v>93</v>
      </c>
      <c r="I1535" s="1">
        <v>680000.0</v>
      </c>
      <c r="J1535" s="1"/>
      <c r="K1535" s="1"/>
      <c r="L1535" s="1" t="s">
        <v>765</v>
      </c>
      <c r="M1535" s="1" t="s">
        <v>6417</v>
      </c>
      <c r="N1535" s="1" t="s">
        <v>142</v>
      </c>
      <c r="O1535" s="1" t="s">
        <v>143</v>
      </c>
      <c r="P1535" s="2">
        <v>43775.4166666667</v>
      </c>
      <c r="Q1535" s="1" t="s">
        <v>74</v>
      </c>
      <c r="R1535" s="3">
        <v>43809.0</v>
      </c>
      <c r="S1535" s="1"/>
      <c r="T1535" s="1">
        <v>1506005.0</v>
      </c>
      <c r="U1535" s="1" t="s">
        <v>1143</v>
      </c>
      <c r="V1535" s="1" t="s">
        <v>193</v>
      </c>
      <c r="W1535" s="1" t="s">
        <v>177</v>
      </c>
      <c r="X1535" s="1"/>
      <c r="Y1535" s="1" t="str">
        <f>"02048001996201978"</f>
        <v>02048001996201978</v>
      </c>
      <c r="Z1535" s="1" t="s">
        <v>147</v>
      </c>
      <c r="AA1535" s="1" t="s">
        <v>6418</v>
      </c>
      <c r="AB1535" s="1" t="str">
        <f>"***258472**"</f>
        <v>***258472**</v>
      </c>
      <c r="AC1535" s="1"/>
      <c r="AD1535" s="1"/>
      <c r="AE1535" s="1"/>
      <c r="AF1535" s="1">
        <v>-53.97139</v>
      </c>
      <c r="AG1535" s="1">
        <v>-2.602778</v>
      </c>
      <c r="AH1535" s="1" t="s">
        <v>6419</v>
      </c>
      <c r="AI1535" s="1"/>
      <c r="AJ1535" s="1" t="s">
        <v>765</v>
      </c>
      <c r="AK1535" s="1"/>
      <c r="AL1535" s="1" t="s">
        <v>79</v>
      </c>
      <c r="AM1535" s="1" t="s">
        <v>65</v>
      </c>
      <c r="AN1535" s="1" t="s">
        <v>1146</v>
      </c>
      <c r="AO1535" s="2">
        <v>43894.0</v>
      </c>
      <c r="AP1535" s="2">
        <v>43894.3837731482</v>
      </c>
      <c r="AQ1535" s="1" t="s">
        <v>80</v>
      </c>
      <c r="AR1535" s="1" t="s">
        <v>2165</v>
      </c>
      <c r="AS1535" s="1"/>
      <c r="AT1535" s="2">
        <v>44269.931099537</v>
      </c>
    </row>
    <row r="1536" ht="13.5" customHeight="1">
      <c r="A1536" s="1">
        <v>2040330.0</v>
      </c>
      <c r="B1536" s="1" t="s">
        <v>67</v>
      </c>
      <c r="C1536" s="1" t="s">
        <v>68</v>
      </c>
      <c r="D1536" s="1" t="s">
        <v>46</v>
      </c>
      <c r="E1536" s="1" t="s">
        <v>6420</v>
      </c>
      <c r="F1536" s="1"/>
      <c r="G1536" s="1" t="s">
        <v>70</v>
      </c>
      <c r="H1536" s="1" t="s">
        <v>50</v>
      </c>
      <c r="I1536" s="1">
        <v>250.0</v>
      </c>
      <c r="J1536" s="1"/>
      <c r="K1536" s="1"/>
      <c r="L1536" s="1" t="s">
        <v>64</v>
      </c>
      <c r="M1536" s="1" t="s">
        <v>6421</v>
      </c>
      <c r="N1536" s="1" t="s">
        <v>283</v>
      </c>
      <c r="O1536" s="1" t="s">
        <v>978</v>
      </c>
      <c r="P1536" s="2">
        <v>43775.4166666667</v>
      </c>
      <c r="Q1536" s="1" t="s">
        <v>74</v>
      </c>
      <c r="R1536" s="3">
        <v>43821.0</v>
      </c>
      <c r="S1536" s="1"/>
      <c r="T1536" s="1">
        <v>3509502.0</v>
      </c>
      <c r="U1536" s="1" t="s">
        <v>97</v>
      </c>
      <c r="V1536" s="1" t="s">
        <v>58</v>
      </c>
      <c r="W1536" s="1" t="s">
        <v>59</v>
      </c>
      <c r="X1536" s="1"/>
      <c r="Y1536" s="1" t="str">
        <f>"02027002650202079"</f>
        <v>02027002650202079</v>
      </c>
      <c r="Z1536" s="1" t="s">
        <v>980</v>
      </c>
      <c r="AA1536" s="1" t="s">
        <v>6391</v>
      </c>
      <c r="AB1536" s="1" t="str">
        <f>"05778115000125"</f>
        <v>05778115000125</v>
      </c>
      <c r="AC1536" s="1"/>
      <c r="AD1536" s="1"/>
      <c r="AE1536" s="1"/>
      <c r="AF1536" s="1">
        <v>-47.144169</v>
      </c>
      <c r="AG1536" s="1">
        <v>-23.007778</v>
      </c>
      <c r="AH1536" s="1" t="s">
        <v>3543</v>
      </c>
      <c r="AI1536" s="1"/>
      <c r="AJ1536" s="1" t="s">
        <v>64</v>
      </c>
      <c r="AK1536" s="1"/>
      <c r="AL1536" s="1" t="s">
        <v>79</v>
      </c>
      <c r="AM1536" s="1" t="s">
        <v>65</v>
      </c>
      <c r="AN1536" s="1" t="s">
        <v>102</v>
      </c>
      <c r="AO1536" s="2">
        <v>44120.0</v>
      </c>
      <c r="AP1536" s="2">
        <v>44120.4858449074</v>
      </c>
      <c r="AQ1536" s="1" t="s">
        <v>80</v>
      </c>
      <c r="AR1536" s="1" t="s">
        <v>4343</v>
      </c>
      <c r="AS1536" s="1"/>
      <c r="AT1536" s="2">
        <v>44269.931099537</v>
      </c>
    </row>
    <row r="1537" ht="13.5" customHeight="1">
      <c r="A1537" s="1">
        <v>2038441.0</v>
      </c>
      <c r="B1537" s="1" t="s">
        <v>67</v>
      </c>
      <c r="C1537" s="1" t="s">
        <v>68</v>
      </c>
      <c r="D1537" s="1" t="s">
        <v>46</v>
      </c>
      <c r="E1537" s="1" t="s">
        <v>6422</v>
      </c>
      <c r="F1537" s="1"/>
      <c r="G1537" s="1" t="s">
        <v>70</v>
      </c>
      <c r="H1537" s="1" t="s">
        <v>93</v>
      </c>
      <c r="I1537" s="1">
        <v>1416650.0</v>
      </c>
      <c r="J1537" s="1"/>
      <c r="K1537" s="1"/>
      <c r="L1537" s="1" t="s">
        <v>172</v>
      </c>
      <c r="M1537" s="1" t="s">
        <v>6423</v>
      </c>
      <c r="N1537" s="1" t="s">
        <v>142</v>
      </c>
      <c r="O1537" s="1" t="s">
        <v>143</v>
      </c>
      <c r="P1537" s="2">
        <v>43775.375</v>
      </c>
      <c r="Q1537" s="1" t="s">
        <v>74</v>
      </c>
      <c r="R1537" s="3">
        <v>43794.0</v>
      </c>
      <c r="S1537" s="1"/>
      <c r="T1537" s="1">
        <v>1507300.0</v>
      </c>
      <c r="U1537" s="1" t="s">
        <v>3161</v>
      </c>
      <c r="V1537" s="1" t="s">
        <v>193</v>
      </c>
      <c r="W1537" s="1" t="s">
        <v>177</v>
      </c>
      <c r="X1537" s="1"/>
      <c r="Y1537" s="1" t="str">
        <f>"02001036398201956"</f>
        <v>02001036398201956</v>
      </c>
      <c r="Z1537" s="1" t="s">
        <v>147</v>
      </c>
      <c r="AA1537" s="1" t="s">
        <v>6424</v>
      </c>
      <c r="AB1537" s="1" t="str">
        <f>"***234362**"</f>
        <v>***234362**</v>
      </c>
      <c r="AC1537" s="1"/>
      <c r="AD1537" s="1"/>
      <c r="AE1537" s="1"/>
      <c r="AF1537" s="1">
        <v>-51.491943</v>
      </c>
      <c r="AG1537" s="1">
        <v>-6.59</v>
      </c>
      <c r="AH1537" s="1" t="s">
        <v>6425</v>
      </c>
      <c r="AI1537" s="1"/>
      <c r="AJ1537" s="1" t="s">
        <v>172</v>
      </c>
      <c r="AK1537" s="1"/>
      <c r="AL1537" s="1" t="s">
        <v>79</v>
      </c>
      <c r="AM1537" s="1" t="s">
        <v>65</v>
      </c>
      <c r="AN1537" s="1" t="s">
        <v>2164</v>
      </c>
      <c r="AO1537" s="2">
        <v>44034.0</v>
      </c>
      <c r="AP1537" s="2">
        <v>44034.517349537</v>
      </c>
      <c r="AQ1537" s="1" t="s">
        <v>80</v>
      </c>
      <c r="AR1537" s="1" t="s">
        <v>421</v>
      </c>
      <c r="AS1537" s="1"/>
      <c r="AT1537" s="2">
        <v>44269.931099537</v>
      </c>
    </row>
    <row r="1538" ht="13.5" customHeight="1">
      <c r="A1538" s="1">
        <v>2039476.0</v>
      </c>
      <c r="B1538" s="1" t="s">
        <v>67</v>
      </c>
      <c r="C1538" s="1" t="s">
        <v>68</v>
      </c>
      <c r="D1538" s="1" t="s">
        <v>46</v>
      </c>
      <c r="E1538" s="1" t="s">
        <v>6426</v>
      </c>
      <c r="F1538" s="1"/>
      <c r="G1538" s="1" t="s">
        <v>70</v>
      </c>
      <c r="H1538" s="1" t="s">
        <v>93</v>
      </c>
      <c r="I1538" s="1">
        <v>15300.0</v>
      </c>
      <c r="J1538" s="1"/>
      <c r="K1538" s="1"/>
      <c r="L1538" s="1" t="s">
        <v>537</v>
      </c>
      <c r="M1538" s="1" t="s">
        <v>6427</v>
      </c>
      <c r="N1538" s="1" t="s">
        <v>142</v>
      </c>
      <c r="O1538" s="1" t="s">
        <v>143</v>
      </c>
      <c r="P1538" s="2">
        <v>43775.3333333333</v>
      </c>
      <c r="Q1538" s="1" t="s">
        <v>373</v>
      </c>
      <c r="R1538" s="3">
        <v>43775.0</v>
      </c>
      <c r="S1538" s="1"/>
      <c r="T1538" s="1">
        <v>2104057.0</v>
      </c>
      <c r="U1538" s="1" t="s">
        <v>4700</v>
      </c>
      <c r="V1538" s="1" t="s">
        <v>540</v>
      </c>
      <c r="W1538" s="1" t="s">
        <v>127</v>
      </c>
      <c r="X1538" s="1"/>
      <c r="Y1538" s="1" t="str">
        <f>"02012002110202054"</f>
        <v>02012002110202054</v>
      </c>
      <c r="Z1538" s="1" t="s">
        <v>147</v>
      </c>
      <c r="AA1538" s="1" t="s">
        <v>6428</v>
      </c>
      <c r="AB1538" s="1" t="str">
        <f>"***856276**"</f>
        <v>***856276**</v>
      </c>
      <c r="AC1538" s="1"/>
      <c r="AD1538" s="1"/>
      <c r="AE1538" s="1"/>
      <c r="AF1538" s="1">
        <v>-47.901947</v>
      </c>
      <c r="AG1538" s="1">
        <v>-6.906111</v>
      </c>
      <c r="AH1538" s="1" t="s">
        <v>6429</v>
      </c>
      <c r="AI1538" s="1"/>
      <c r="AJ1538" s="1" t="s">
        <v>537</v>
      </c>
      <c r="AK1538" s="1"/>
      <c r="AL1538" s="1" t="s">
        <v>79</v>
      </c>
      <c r="AM1538" s="1" t="s">
        <v>65</v>
      </c>
      <c r="AN1538" s="1" t="s">
        <v>4203</v>
      </c>
      <c r="AO1538" s="2">
        <v>44063.0</v>
      </c>
      <c r="AP1538" s="2">
        <v>44063.6578703704</v>
      </c>
      <c r="AQ1538" s="1" t="s">
        <v>80</v>
      </c>
      <c r="AR1538" s="1" t="s">
        <v>877</v>
      </c>
      <c r="AS1538" s="1"/>
      <c r="AT1538" s="2">
        <v>44269.931099537</v>
      </c>
    </row>
    <row r="1539" ht="13.5" customHeight="1">
      <c r="A1539" s="1"/>
      <c r="B1539" s="1" t="s">
        <v>46</v>
      </c>
      <c r="C1539" s="1" t="s">
        <v>47</v>
      </c>
      <c r="D1539" s="1"/>
      <c r="E1539" s="1" t="s">
        <v>6430</v>
      </c>
      <c r="F1539" s="1"/>
      <c r="G1539" s="1" t="s">
        <v>49</v>
      </c>
      <c r="H1539" s="1" t="s">
        <v>93</v>
      </c>
      <c r="I1539" s="1">
        <v>1444250.0</v>
      </c>
      <c r="J1539" s="1"/>
      <c r="K1539" s="1"/>
      <c r="L1539" s="1"/>
      <c r="M1539" s="1" t="s">
        <v>6431</v>
      </c>
      <c r="N1539" s="1" t="s">
        <v>142</v>
      </c>
      <c r="O1539" s="1" t="s">
        <v>143</v>
      </c>
      <c r="P1539" s="2">
        <v>43775.3077662037</v>
      </c>
      <c r="Q1539" s="1" t="s">
        <v>74</v>
      </c>
      <c r="R1539" s="3">
        <v>43780.0</v>
      </c>
      <c r="S1539" s="1"/>
      <c r="T1539" s="1">
        <v>1507300.0</v>
      </c>
      <c r="U1539" s="1" t="s">
        <v>3161</v>
      </c>
      <c r="V1539" s="1" t="s">
        <v>193</v>
      </c>
      <c r="W1539" s="1" t="s">
        <v>177</v>
      </c>
      <c r="X1539" s="1"/>
      <c r="Y1539" s="1"/>
      <c r="Z1539" s="1" t="s">
        <v>147</v>
      </c>
      <c r="AA1539" s="1" t="s">
        <v>6432</v>
      </c>
      <c r="AB1539" s="1" t="str">
        <f t="shared" ref="AB1539:AB1540" si="88">"***234362**"</f>
        <v>***234362**</v>
      </c>
      <c r="AC1539" s="1"/>
      <c r="AD1539" s="1" t="s">
        <v>116</v>
      </c>
      <c r="AE1539" s="1"/>
      <c r="AF1539" s="1">
        <v>-51.490889</v>
      </c>
      <c r="AG1539" s="1">
        <v>-6.542083</v>
      </c>
      <c r="AH1539" s="1" t="s">
        <v>6433</v>
      </c>
      <c r="AI1539" s="1"/>
      <c r="AJ1539" s="1" t="s">
        <v>172</v>
      </c>
      <c r="AK1539" s="1"/>
      <c r="AL1539" s="1"/>
      <c r="AM1539" s="1" t="s">
        <v>65</v>
      </c>
      <c r="AN1539" s="1" t="s">
        <v>2164</v>
      </c>
      <c r="AO1539" s="1"/>
      <c r="AP1539" s="2">
        <v>44215.6775115741</v>
      </c>
      <c r="AQ1539" s="1"/>
      <c r="AR1539" s="1" t="s">
        <v>871</v>
      </c>
      <c r="AS1539" s="1"/>
      <c r="AT1539" s="2">
        <v>44269.931099537</v>
      </c>
    </row>
    <row r="1540" ht="13.5" customHeight="1">
      <c r="A1540" s="1">
        <v>2042457.0</v>
      </c>
      <c r="B1540" s="1" t="s">
        <v>67</v>
      </c>
      <c r="C1540" s="1" t="s">
        <v>68</v>
      </c>
      <c r="D1540" s="1" t="s">
        <v>46</v>
      </c>
      <c r="E1540" s="1" t="s">
        <v>6434</v>
      </c>
      <c r="F1540" s="1"/>
      <c r="G1540" s="1" t="s">
        <v>70</v>
      </c>
      <c r="H1540" s="1" t="s">
        <v>93</v>
      </c>
      <c r="I1540" s="1">
        <v>1407550.0</v>
      </c>
      <c r="J1540" s="1"/>
      <c r="K1540" s="1"/>
      <c r="L1540" s="1" t="s">
        <v>172</v>
      </c>
      <c r="M1540" s="1" t="s">
        <v>6435</v>
      </c>
      <c r="N1540" s="1" t="s">
        <v>142</v>
      </c>
      <c r="O1540" s="1" t="s">
        <v>143</v>
      </c>
      <c r="P1540" s="2">
        <v>43775.2916666667</v>
      </c>
      <c r="Q1540" s="1" t="s">
        <v>74</v>
      </c>
      <c r="R1540" s="3">
        <v>43779.0</v>
      </c>
      <c r="S1540" s="1"/>
      <c r="T1540" s="1">
        <v>1507300.0</v>
      </c>
      <c r="U1540" s="1" t="s">
        <v>3161</v>
      </c>
      <c r="V1540" s="1" t="s">
        <v>193</v>
      </c>
      <c r="W1540" s="1" t="s">
        <v>177</v>
      </c>
      <c r="X1540" s="1"/>
      <c r="Y1540" s="1" t="str">
        <f>"02001036399201909"</f>
        <v>02001036399201909</v>
      </c>
      <c r="Z1540" s="1" t="s">
        <v>147</v>
      </c>
      <c r="AA1540" s="1" t="s">
        <v>6424</v>
      </c>
      <c r="AB1540" s="1" t="str">
        <f t="shared" si="88"/>
        <v>***234362**</v>
      </c>
      <c r="AC1540" s="1"/>
      <c r="AD1540" s="1"/>
      <c r="AE1540" s="1"/>
      <c r="AF1540" s="1">
        <v>-51.491306</v>
      </c>
      <c r="AG1540" s="1">
        <v>-6.553083</v>
      </c>
      <c r="AH1540" s="1" t="s">
        <v>6436</v>
      </c>
      <c r="AI1540" s="1"/>
      <c r="AJ1540" s="1" t="s">
        <v>172</v>
      </c>
      <c r="AK1540" s="1"/>
      <c r="AL1540" s="1" t="s">
        <v>79</v>
      </c>
      <c r="AM1540" s="1" t="s">
        <v>65</v>
      </c>
      <c r="AN1540" s="1" t="s">
        <v>2164</v>
      </c>
      <c r="AO1540" s="2">
        <v>44196.0</v>
      </c>
      <c r="AP1540" s="2">
        <v>44196.4580555556</v>
      </c>
      <c r="AQ1540" s="1" t="s">
        <v>80</v>
      </c>
      <c r="AR1540" s="1" t="s">
        <v>421</v>
      </c>
      <c r="AS1540" s="1"/>
      <c r="AT1540" s="2">
        <v>44269.931099537</v>
      </c>
    </row>
    <row r="1541" ht="13.5" customHeight="1">
      <c r="A1541" s="1">
        <v>2042690.0</v>
      </c>
      <c r="B1541" s="1" t="s">
        <v>67</v>
      </c>
      <c r="C1541" s="1" t="s">
        <v>68</v>
      </c>
      <c r="D1541" s="1" t="s">
        <v>46</v>
      </c>
      <c r="E1541" s="1" t="s">
        <v>6437</v>
      </c>
      <c r="F1541" s="1"/>
      <c r="G1541" s="1" t="s">
        <v>70</v>
      </c>
      <c r="H1541" s="1" t="s">
        <v>93</v>
      </c>
      <c r="I1541" s="1">
        <v>7500.0</v>
      </c>
      <c r="J1541" s="1"/>
      <c r="K1541" s="1"/>
      <c r="L1541" s="1" t="s">
        <v>1040</v>
      </c>
      <c r="M1541" s="1" t="s">
        <v>6438</v>
      </c>
      <c r="N1541" s="1" t="s">
        <v>142</v>
      </c>
      <c r="O1541" s="1" t="s">
        <v>143</v>
      </c>
      <c r="P1541" s="2">
        <v>43775.2916666667</v>
      </c>
      <c r="Q1541" s="1" t="s">
        <v>373</v>
      </c>
      <c r="R1541" s="3">
        <v>43775.0</v>
      </c>
      <c r="S1541" s="1"/>
      <c r="T1541" s="1">
        <v>2609907.0</v>
      </c>
      <c r="U1541" s="1" t="s">
        <v>6439</v>
      </c>
      <c r="V1541" s="1" t="s">
        <v>1037</v>
      </c>
      <c r="W1541" s="1" t="s">
        <v>113</v>
      </c>
      <c r="X1541" s="1"/>
      <c r="Y1541" s="1" t="str">
        <f>"02019001758202043"</f>
        <v>02019001758202043</v>
      </c>
      <c r="Z1541" s="1" t="s">
        <v>147</v>
      </c>
      <c r="AA1541" s="1" t="s">
        <v>6440</v>
      </c>
      <c r="AB1541" s="1" t="str">
        <f>"***156724**"</f>
        <v>***156724**</v>
      </c>
      <c r="AC1541" s="1"/>
      <c r="AD1541" s="1"/>
      <c r="AE1541" s="1"/>
      <c r="AF1541" s="1"/>
      <c r="AG1541" s="1">
        <v>-7.886111</v>
      </c>
      <c r="AH1541" s="1" t="s">
        <v>6441</v>
      </c>
      <c r="AI1541" s="1"/>
      <c r="AJ1541" s="1" t="s">
        <v>1040</v>
      </c>
      <c r="AK1541" s="1"/>
      <c r="AL1541" s="1" t="s">
        <v>79</v>
      </c>
      <c r="AM1541" s="1" t="s">
        <v>65</v>
      </c>
      <c r="AN1541" s="1" t="s">
        <v>1279</v>
      </c>
      <c r="AO1541" s="2">
        <v>44215.0</v>
      </c>
      <c r="AP1541" s="2">
        <v>44215.740474537</v>
      </c>
      <c r="AQ1541" s="1" t="s">
        <v>80</v>
      </c>
      <c r="AR1541" s="1" t="s">
        <v>181</v>
      </c>
      <c r="AS1541" s="1"/>
      <c r="AT1541" s="2">
        <v>44269.931099537</v>
      </c>
    </row>
    <row r="1542" ht="13.5" customHeight="1">
      <c r="A1542" s="1">
        <v>2040792.0</v>
      </c>
      <c r="B1542" s="1" t="s">
        <v>67</v>
      </c>
      <c r="C1542" s="1" t="s">
        <v>68</v>
      </c>
      <c r="D1542" s="1" t="s">
        <v>46</v>
      </c>
      <c r="E1542" s="1" t="s">
        <v>6442</v>
      </c>
      <c r="F1542" s="1"/>
      <c r="G1542" s="1" t="s">
        <v>70</v>
      </c>
      <c r="H1542" s="1" t="s">
        <v>50</v>
      </c>
      <c r="I1542" s="1">
        <v>4000.0</v>
      </c>
      <c r="J1542" s="1"/>
      <c r="K1542" s="1"/>
      <c r="L1542" s="1" t="s">
        <v>64</v>
      </c>
      <c r="M1542" s="1" t="s">
        <v>6443</v>
      </c>
      <c r="N1542" s="1" t="s">
        <v>72</v>
      </c>
      <c r="O1542" s="1" t="s">
        <v>73</v>
      </c>
      <c r="P1542" s="2">
        <v>43775.25</v>
      </c>
      <c r="Q1542" s="1" t="s">
        <v>74</v>
      </c>
      <c r="R1542" s="3">
        <v>43786.0</v>
      </c>
      <c r="S1542" s="1"/>
      <c r="T1542" s="1">
        <v>3509502.0</v>
      </c>
      <c r="U1542" s="1" t="s">
        <v>97</v>
      </c>
      <c r="V1542" s="1" t="s">
        <v>58</v>
      </c>
      <c r="W1542" s="1" t="s">
        <v>59</v>
      </c>
      <c r="X1542" s="1"/>
      <c r="Y1542" s="1" t="str">
        <f>"02027002661202059"</f>
        <v>02027002661202059</v>
      </c>
      <c r="Z1542" s="1" t="s">
        <v>76</v>
      </c>
      <c r="AA1542" s="1" t="s">
        <v>6444</v>
      </c>
      <c r="AB1542" s="1" t="str">
        <f t="shared" ref="AB1542:AB1543" si="89">"91359711000102"</f>
        <v>91359711000102</v>
      </c>
      <c r="AC1542" s="1"/>
      <c r="AD1542" s="1"/>
      <c r="AE1542" s="1"/>
      <c r="AF1542" s="1">
        <v>-47.144169</v>
      </c>
      <c r="AG1542" s="1">
        <v>-23.007778</v>
      </c>
      <c r="AH1542" s="1" t="s">
        <v>3528</v>
      </c>
      <c r="AI1542" s="1"/>
      <c r="AJ1542" s="1" t="s">
        <v>64</v>
      </c>
      <c r="AK1542" s="1"/>
      <c r="AL1542" s="1" t="s">
        <v>79</v>
      </c>
      <c r="AM1542" s="1" t="s">
        <v>65</v>
      </c>
      <c r="AN1542" s="1" t="s">
        <v>102</v>
      </c>
      <c r="AO1542" s="2">
        <v>44139.0</v>
      </c>
      <c r="AP1542" s="2">
        <v>44139.4675231482</v>
      </c>
      <c r="AQ1542" s="1" t="s">
        <v>80</v>
      </c>
      <c r="AR1542" s="1" t="s">
        <v>1072</v>
      </c>
      <c r="AS1542" s="1"/>
      <c r="AT1542" s="2">
        <v>44269.931099537</v>
      </c>
    </row>
    <row r="1543" ht="13.5" customHeight="1">
      <c r="A1543" s="1">
        <v>2040793.0</v>
      </c>
      <c r="B1543" s="1" t="s">
        <v>67</v>
      </c>
      <c r="C1543" s="1" t="s">
        <v>68</v>
      </c>
      <c r="D1543" s="1" t="s">
        <v>46</v>
      </c>
      <c r="E1543" s="1" t="s">
        <v>6445</v>
      </c>
      <c r="F1543" s="1"/>
      <c r="G1543" s="1" t="s">
        <v>70</v>
      </c>
      <c r="H1543" s="1" t="s">
        <v>50</v>
      </c>
      <c r="I1543" s="1">
        <v>500.0</v>
      </c>
      <c r="J1543" s="1"/>
      <c r="K1543" s="1"/>
      <c r="L1543" s="1" t="s">
        <v>64</v>
      </c>
      <c r="M1543" s="1" t="s">
        <v>6446</v>
      </c>
      <c r="N1543" s="1" t="s">
        <v>283</v>
      </c>
      <c r="O1543" s="1" t="s">
        <v>978</v>
      </c>
      <c r="P1543" s="2">
        <v>43775.25</v>
      </c>
      <c r="Q1543" s="1" t="s">
        <v>74</v>
      </c>
      <c r="R1543" s="3">
        <v>43785.0</v>
      </c>
      <c r="S1543" s="1"/>
      <c r="T1543" s="1">
        <v>3509502.0</v>
      </c>
      <c r="U1543" s="1" t="s">
        <v>97</v>
      </c>
      <c r="V1543" s="1" t="s">
        <v>58</v>
      </c>
      <c r="W1543" s="1" t="s">
        <v>59</v>
      </c>
      <c r="X1543" s="1"/>
      <c r="Y1543" s="1" t="str">
        <f>"02027002660202012"</f>
        <v>02027002660202012</v>
      </c>
      <c r="Z1543" s="1" t="s">
        <v>980</v>
      </c>
      <c r="AA1543" s="1" t="s">
        <v>6444</v>
      </c>
      <c r="AB1543" s="1" t="str">
        <f t="shared" si="89"/>
        <v>91359711000102</v>
      </c>
      <c r="AC1543" s="1"/>
      <c r="AD1543" s="1"/>
      <c r="AE1543" s="1"/>
      <c r="AF1543" s="1">
        <v>-47.144169</v>
      </c>
      <c r="AG1543" s="1">
        <v>-23.007778</v>
      </c>
      <c r="AH1543" s="1" t="s">
        <v>3528</v>
      </c>
      <c r="AI1543" s="1"/>
      <c r="AJ1543" s="1" t="s">
        <v>64</v>
      </c>
      <c r="AK1543" s="1"/>
      <c r="AL1543" s="1" t="s">
        <v>79</v>
      </c>
      <c r="AM1543" s="1" t="s">
        <v>65</v>
      </c>
      <c r="AN1543" s="1" t="s">
        <v>102</v>
      </c>
      <c r="AO1543" s="2">
        <v>44139.0</v>
      </c>
      <c r="AP1543" s="2">
        <v>44139.4692708333</v>
      </c>
      <c r="AQ1543" s="1" t="s">
        <v>80</v>
      </c>
      <c r="AR1543" s="1" t="s">
        <v>6447</v>
      </c>
      <c r="AS1543" s="1"/>
      <c r="AT1543" s="2">
        <v>44269.931099537</v>
      </c>
    </row>
    <row r="1544" ht="13.5" customHeight="1">
      <c r="A1544" s="1"/>
      <c r="B1544" s="1" t="s">
        <v>46</v>
      </c>
      <c r="C1544" s="1" t="s">
        <v>47</v>
      </c>
      <c r="D1544" s="1"/>
      <c r="E1544" s="1" t="s">
        <v>6448</v>
      </c>
      <c r="F1544" s="1"/>
      <c r="G1544" s="1" t="s">
        <v>49</v>
      </c>
      <c r="H1544" s="1" t="s">
        <v>93</v>
      </c>
      <c r="I1544" s="1">
        <v>1486400.0</v>
      </c>
      <c r="J1544" s="1"/>
      <c r="K1544" s="1"/>
      <c r="L1544" s="1"/>
      <c r="M1544" s="1" t="s">
        <v>6449</v>
      </c>
      <c r="N1544" s="1" t="s">
        <v>142</v>
      </c>
      <c r="O1544" s="1" t="s">
        <v>143</v>
      </c>
      <c r="P1544" s="2">
        <v>43775.2370949074</v>
      </c>
      <c r="Q1544" s="1" t="s">
        <v>74</v>
      </c>
      <c r="R1544" s="3">
        <v>43780.0</v>
      </c>
      <c r="S1544" s="1"/>
      <c r="T1544" s="1">
        <v>1507300.0</v>
      </c>
      <c r="U1544" s="1" t="s">
        <v>3161</v>
      </c>
      <c r="V1544" s="1" t="s">
        <v>193</v>
      </c>
      <c r="W1544" s="1" t="s">
        <v>177</v>
      </c>
      <c r="X1544" s="1"/>
      <c r="Y1544" s="1"/>
      <c r="Z1544" s="1" t="s">
        <v>147</v>
      </c>
      <c r="AA1544" s="1" t="s">
        <v>6450</v>
      </c>
      <c r="AB1544" s="1" t="str">
        <f t="shared" ref="AB1544:AB1545" si="90">"***234362**"</f>
        <v>***234362**</v>
      </c>
      <c r="AC1544" s="1"/>
      <c r="AD1544" s="1" t="s">
        <v>116</v>
      </c>
      <c r="AE1544" s="1"/>
      <c r="AF1544" s="1">
        <v>-51.515222</v>
      </c>
      <c r="AG1544" s="1">
        <v>-6.560833</v>
      </c>
      <c r="AH1544" s="1" t="s">
        <v>6451</v>
      </c>
      <c r="AI1544" s="1"/>
      <c r="AJ1544" s="1" t="s">
        <v>172</v>
      </c>
      <c r="AK1544" s="1"/>
      <c r="AL1544" s="1"/>
      <c r="AM1544" s="1" t="s">
        <v>65</v>
      </c>
      <c r="AN1544" s="1" t="s">
        <v>2164</v>
      </c>
      <c r="AO1544" s="1"/>
      <c r="AP1544" s="2">
        <v>44215.677962963</v>
      </c>
      <c r="AQ1544" s="1"/>
      <c r="AR1544" s="1" t="s">
        <v>871</v>
      </c>
      <c r="AS1544" s="1"/>
      <c r="AT1544" s="2">
        <v>44269.931099537</v>
      </c>
    </row>
    <row r="1545" ht="13.5" customHeight="1">
      <c r="A1545" s="1">
        <v>2038251.0</v>
      </c>
      <c r="B1545" s="1" t="s">
        <v>67</v>
      </c>
      <c r="C1545" s="1" t="s">
        <v>89</v>
      </c>
      <c r="D1545" s="1" t="s">
        <v>67</v>
      </c>
      <c r="E1545" s="1" t="s">
        <v>6452</v>
      </c>
      <c r="F1545" s="1"/>
      <c r="G1545" s="1" t="s">
        <v>70</v>
      </c>
      <c r="H1545" s="1" t="s">
        <v>93</v>
      </c>
      <c r="I1545" s="1">
        <v>1416650.0</v>
      </c>
      <c r="J1545" s="1"/>
      <c r="K1545" s="1"/>
      <c r="L1545" s="1" t="s">
        <v>172</v>
      </c>
      <c r="M1545" s="1" t="s">
        <v>6453</v>
      </c>
      <c r="N1545" s="1" t="s">
        <v>142</v>
      </c>
      <c r="O1545" s="1" t="s">
        <v>143</v>
      </c>
      <c r="P1545" s="2">
        <v>43775.2083333333</v>
      </c>
      <c r="Q1545" s="1" t="s">
        <v>74</v>
      </c>
      <c r="R1545" s="3">
        <v>43780.0</v>
      </c>
      <c r="S1545" s="1"/>
      <c r="T1545" s="1">
        <v>5300108.0</v>
      </c>
      <c r="U1545" s="1" t="s">
        <v>1541</v>
      </c>
      <c r="V1545" s="1" t="s">
        <v>1542</v>
      </c>
      <c r="W1545" s="1" t="s">
        <v>177</v>
      </c>
      <c r="X1545" s="1"/>
      <c r="Y1545" s="1" t="str">
        <f>"02001036401201931"</f>
        <v>02001036401201931</v>
      </c>
      <c r="Z1545" s="1" t="s">
        <v>147</v>
      </c>
      <c r="AA1545" s="1" t="s">
        <v>6424</v>
      </c>
      <c r="AB1545" s="1" t="str">
        <f t="shared" si="90"/>
        <v>***234362**</v>
      </c>
      <c r="AC1545" s="1"/>
      <c r="AD1545" s="1"/>
      <c r="AE1545" s="1"/>
      <c r="AF1545" s="1">
        <v>-51.571388</v>
      </c>
      <c r="AG1545" s="1">
        <v>-6.59</v>
      </c>
      <c r="AH1545" s="1" t="s">
        <v>6454</v>
      </c>
      <c r="AI1545" s="1"/>
      <c r="AJ1545" s="1" t="s">
        <v>172</v>
      </c>
      <c r="AK1545" s="1"/>
      <c r="AL1545" s="1" t="s">
        <v>79</v>
      </c>
      <c r="AM1545" s="1" t="s">
        <v>65</v>
      </c>
      <c r="AN1545" s="1" t="s">
        <v>2164</v>
      </c>
      <c r="AO1545" s="2">
        <v>44028.0</v>
      </c>
      <c r="AP1545" s="2">
        <v>44034.5060995371</v>
      </c>
      <c r="AQ1545" s="1" t="s">
        <v>89</v>
      </c>
      <c r="AR1545" s="1" t="s">
        <v>421</v>
      </c>
      <c r="AS1545" s="1"/>
      <c r="AT1545" s="2">
        <v>44269.931099537</v>
      </c>
    </row>
    <row r="1546" ht="13.5" customHeight="1">
      <c r="A1546" s="1"/>
      <c r="B1546" s="1" t="s">
        <v>46</v>
      </c>
      <c r="C1546" s="1" t="s">
        <v>657</v>
      </c>
      <c r="D1546" s="1" t="s">
        <v>67</v>
      </c>
      <c r="E1546" s="1" t="s">
        <v>6455</v>
      </c>
      <c r="F1546" s="1"/>
      <c r="G1546" s="1"/>
      <c r="H1546" s="1" t="s">
        <v>93</v>
      </c>
      <c r="I1546" s="1">
        <v>11730.6</v>
      </c>
      <c r="J1546" s="1"/>
      <c r="K1546" s="1"/>
      <c r="L1546" s="1"/>
      <c r="M1546" s="1" t="s">
        <v>6397</v>
      </c>
      <c r="N1546" s="1" t="s">
        <v>142</v>
      </c>
      <c r="O1546" s="1" t="s">
        <v>143</v>
      </c>
      <c r="P1546" s="2">
        <v>43774.9661574074</v>
      </c>
      <c r="Q1546" s="1" t="s">
        <v>373</v>
      </c>
      <c r="R1546" s="1"/>
      <c r="S1546" s="1"/>
      <c r="T1546" s="1">
        <v>2105302.0</v>
      </c>
      <c r="U1546" s="1" t="s">
        <v>539</v>
      </c>
      <c r="V1546" s="1" t="s">
        <v>540</v>
      </c>
      <c r="W1546" s="1" t="s">
        <v>177</v>
      </c>
      <c r="X1546" s="1"/>
      <c r="Y1546" s="1"/>
      <c r="Z1546" s="1" t="s">
        <v>147</v>
      </c>
      <c r="AA1546" s="1" t="s">
        <v>6456</v>
      </c>
      <c r="AB1546" s="1" t="str">
        <f>"***881074**"</f>
        <v>***881074**</v>
      </c>
      <c r="AC1546" s="1"/>
      <c r="AD1546" s="1" t="s">
        <v>62</v>
      </c>
      <c r="AE1546" s="1"/>
      <c r="AF1546" s="1">
        <v>-47.4725</v>
      </c>
      <c r="AG1546" s="1">
        <v>-5.455277</v>
      </c>
      <c r="AH1546" s="1" t="s">
        <v>6399</v>
      </c>
      <c r="AI1546" s="1"/>
      <c r="AJ1546" s="1" t="s">
        <v>537</v>
      </c>
      <c r="AK1546" s="1"/>
      <c r="AL1546" s="1"/>
      <c r="AM1546" s="1" t="s">
        <v>65</v>
      </c>
      <c r="AN1546" s="1" t="s">
        <v>543</v>
      </c>
      <c r="AO1546" s="1"/>
      <c r="AP1546" s="2">
        <v>43774.9813078704</v>
      </c>
      <c r="AQ1546" s="1"/>
      <c r="AR1546" s="1" t="s">
        <v>280</v>
      </c>
      <c r="AS1546" s="1"/>
      <c r="AT1546" s="2">
        <v>44269.931099537</v>
      </c>
    </row>
    <row r="1547" ht="13.5" customHeight="1">
      <c r="A1547" s="1"/>
      <c r="B1547" s="1" t="s">
        <v>46</v>
      </c>
      <c r="C1547" s="1" t="s">
        <v>47</v>
      </c>
      <c r="D1547" s="1"/>
      <c r="E1547" s="1" t="s">
        <v>6457</v>
      </c>
      <c r="F1547" s="1"/>
      <c r="G1547" s="1"/>
      <c r="H1547" s="1" t="s">
        <v>93</v>
      </c>
      <c r="I1547" s="1">
        <v>39649.53</v>
      </c>
      <c r="J1547" s="1"/>
      <c r="K1547" s="1"/>
      <c r="L1547" s="1"/>
      <c r="M1547" s="1" t="s">
        <v>6458</v>
      </c>
      <c r="N1547" s="1" t="s">
        <v>142</v>
      </c>
      <c r="O1547" s="1" t="s">
        <v>143</v>
      </c>
      <c r="P1547" s="2">
        <v>43774.8617939815</v>
      </c>
      <c r="Q1547" s="1" t="s">
        <v>373</v>
      </c>
      <c r="R1547" s="1"/>
      <c r="S1547" s="1"/>
      <c r="T1547" s="1">
        <v>5201108.0</v>
      </c>
      <c r="U1547" s="1" t="s">
        <v>2686</v>
      </c>
      <c r="V1547" s="1" t="s">
        <v>375</v>
      </c>
      <c r="W1547" s="1" t="s">
        <v>127</v>
      </c>
      <c r="X1547" s="1"/>
      <c r="Y1547" s="1"/>
      <c r="Z1547" s="1" t="s">
        <v>147</v>
      </c>
      <c r="AA1547" s="1" t="s">
        <v>6459</v>
      </c>
      <c r="AB1547" s="1" t="str">
        <f t="shared" ref="AB1547:AB1548" si="91">"22598465000129"</f>
        <v>22598465000129</v>
      </c>
      <c r="AC1547" s="1"/>
      <c r="AD1547" s="1" t="s">
        <v>62</v>
      </c>
      <c r="AE1547" s="1"/>
      <c r="AF1547" s="1">
        <v>-48.941669</v>
      </c>
      <c r="AG1547" s="1">
        <v>-16.297222</v>
      </c>
      <c r="AH1547" s="1" t="s">
        <v>6460</v>
      </c>
      <c r="AI1547" s="1"/>
      <c r="AJ1547" s="1" t="s">
        <v>371</v>
      </c>
      <c r="AK1547" s="1"/>
      <c r="AL1547" s="1"/>
      <c r="AM1547" s="1" t="s">
        <v>65</v>
      </c>
      <c r="AN1547" s="1" t="s">
        <v>6461</v>
      </c>
      <c r="AO1547" s="1"/>
      <c r="AP1547" s="2">
        <v>43774.8836574074</v>
      </c>
      <c r="AQ1547" s="1"/>
      <c r="AR1547" s="1" t="s">
        <v>280</v>
      </c>
      <c r="AS1547" s="1"/>
      <c r="AT1547" s="2">
        <v>44269.931099537</v>
      </c>
    </row>
    <row r="1548" ht="13.5" customHeight="1">
      <c r="A1548" s="1"/>
      <c r="B1548" s="1" t="s">
        <v>46</v>
      </c>
      <c r="C1548" s="1" t="s">
        <v>47</v>
      </c>
      <c r="D1548" s="1"/>
      <c r="E1548" s="1" t="s">
        <v>6462</v>
      </c>
      <c r="F1548" s="1"/>
      <c r="G1548" s="1"/>
      <c r="H1548" s="1" t="s">
        <v>93</v>
      </c>
      <c r="I1548" s="1">
        <v>100500.0</v>
      </c>
      <c r="J1548" s="1"/>
      <c r="K1548" s="1" t="s">
        <v>140</v>
      </c>
      <c r="L1548" s="1"/>
      <c r="M1548" s="1" t="s">
        <v>6463</v>
      </c>
      <c r="N1548" s="1" t="s">
        <v>123</v>
      </c>
      <c r="O1548" s="1" t="s">
        <v>73</v>
      </c>
      <c r="P1548" s="2">
        <v>43774.8476157407</v>
      </c>
      <c r="Q1548" s="1" t="s">
        <v>373</v>
      </c>
      <c r="R1548" s="1"/>
      <c r="S1548" s="1"/>
      <c r="T1548" s="1">
        <v>5201108.0</v>
      </c>
      <c r="U1548" s="1" t="s">
        <v>2686</v>
      </c>
      <c r="V1548" s="1" t="s">
        <v>375</v>
      </c>
      <c r="W1548" s="1" t="s">
        <v>127</v>
      </c>
      <c r="X1548" s="1"/>
      <c r="Y1548" s="1"/>
      <c r="Z1548" s="1" t="s">
        <v>76</v>
      </c>
      <c r="AA1548" s="1" t="s">
        <v>6459</v>
      </c>
      <c r="AB1548" s="1" t="str">
        <f t="shared" si="91"/>
        <v>22598465000129</v>
      </c>
      <c r="AC1548" s="1"/>
      <c r="AD1548" s="1" t="s">
        <v>62</v>
      </c>
      <c r="AE1548" s="1"/>
      <c r="AF1548" s="1">
        <v>-48.941669</v>
      </c>
      <c r="AG1548" s="1">
        <v>-16.297222</v>
      </c>
      <c r="AH1548" s="1" t="s">
        <v>6460</v>
      </c>
      <c r="AI1548" s="1"/>
      <c r="AJ1548" s="1" t="s">
        <v>371</v>
      </c>
      <c r="AK1548" s="1"/>
      <c r="AL1548" s="1"/>
      <c r="AM1548" s="1" t="s">
        <v>65</v>
      </c>
      <c r="AN1548" s="1" t="s">
        <v>6461</v>
      </c>
      <c r="AO1548" s="1"/>
      <c r="AP1548" s="2">
        <v>43777.4812731482</v>
      </c>
      <c r="AQ1548" s="1"/>
      <c r="AR1548" s="1" t="s">
        <v>6464</v>
      </c>
      <c r="AS1548" s="1" t="s">
        <v>6465</v>
      </c>
      <c r="AT1548" s="2">
        <v>44269.931099537</v>
      </c>
    </row>
    <row r="1549" ht="13.5" customHeight="1">
      <c r="A1549" s="1">
        <v>2042683.0</v>
      </c>
      <c r="B1549" s="1" t="s">
        <v>67</v>
      </c>
      <c r="C1549" s="1" t="s">
        <v>68</v>
      </c>
      <c r="D1549" s="1" t="s">
        <v>46</v>
      </c>
      <c r="E1549" s="1" t="s">
        <v>6466</v>
      </c>
      <c r="F1549" s="1"/>
      <c r="G1549" s="1" t="s">
        <v>70</v>
      </c>
      <c r="H1549" s="1" t="s">
        <v>93</v>
      </c>
      <c r="I1549" s="1">
        <v>10500.0</v>
      </c>
      <c r="J1549" s="1"/>
      <c r="K1549" s="1"/>
      <c r="L1549" s="1" t="s">
        <v>1040</v>
      </c>
      <c r="M1549" s="1" t="s">
        <v>6467</v>
      </c>
      <c r="N1549" s="1" t="s">
        <v>72</v>
      </c>
      <c r="O1549" s="1" t="s">
        <v>213</v>
      </c>
      <c r="P1549" s="2">
        <v>43774.8333333333</v>
      </c>
      <c r="Q1549" s="1" t="s">
        <v>55</v>
      </c>
      <c r="R1549" s="1"/>
      <c r="S1549" s="1"/>
      <c r="T1549" s="1">
        <v>2615607.0</v>
      </c>
      <c r="U1549" s="1" t="s">
        <v>5422</v>
      </c>
      <c r="V1549" s="1" t="s">
        <v>1037</v>
      </c>
      <c r="W1549" s="1" t="s">
        <v>113</v>
      </c>
      <c r="X1549" s="1"/>
      <c r="Y1549" s="1" t="str">
        <f>"02019003691201948"</f>
        <v>02019003691201948</v>
      </c>
      <c r="Z1549" s="1" t="s">
        <v>215</v>
      </c>
      <c r="AA1549" s="1" t="s">
        <v>6468</v>
      </c>
      <c r="AB1549" s="1" t="str">
        <f>"10909562000106"</f>
        <v>10909562000106</v>
      </c>
      <c r="AC1549" s="1"/>
      <c r="AD1549" s="1"/>
      <c r="AE1549" s="1"/>
      <c r="AF1549" s="1">
        <v>-40.31139</v>
      </c>
      <c r="AG1549" s="1">
        <v>-7.838612</v>
      </c>
      <c r="AH1549" s="1" t="s">
        <v>6469</v>
      </c>
      <c r="AI1549" s="1"/>
      <c r="AJ1549" s="1" t="s">
        <v>1040</v>
      </c>
      <c r="AK1549" s="1"/>
      <c r="AL1549" s="1" t="s">
        <v>79</v>
      </c>
      <c r="AM1549" s="1" t="s">
        <v>65</v>
      </c>
      <c r="AN1549" s="1" t="s">
        <v>1279</v>
      </c>
      <c r="AO1549" s="2">
        <v>44215.0</v>
      </c>
      <c r="AP1549" s="2">
        <v>44215.7264583333</v>
      </c>
      <c r="AQ1549" s="1" t="s">
        <v>80</v>
      </c>
      <c r="AR1549" s="1" t="s">
        <v>909</v>
      </c>
      <c r="AS1549" s="1"/>
      <c r="AT1549" s="2">
        <v>44269.931099537</v>
      </c>
    </row>
    <row r="1550" ht="13.5" customHeight="1">
      <c r="A1550" s="1">
        <v>2043833.0</v>
      </c>
      <c r="B1550" s="1" t="s">
        <v>67</v>
      </c>
      <c r="C1550" s="1" t="s">
        <v>68</v>
      </c>
      <c r="D1550" s="1" t="s">
        <v>46</v>
      </c>
      <c r="E1550" s="1" t="s">
        <v>6470</v>
      </c>
      <c r="F1550" s="1"/>
      <c r="G1550" s="1" t="s">
        <v>70</v>
      </c>
      <c r="H1550" s="1" t="s">
        <v>50</v>
      </c>
      <c r="I1550" s="1">
        <v>2000.0</v>
      </c>
      <c r="J1550" s="1"/>
      <c r="K1550" s="1"/>
      <c r="L1550" s="1" t="s">
        <v>64</v>
      </c>
      <c r="M1550" s="1" t="s">
        <v>6471</v>
      </c>
      <c r="N1550" s="1" t="s">
        <v>72</v>
      </c>
      <c r="O1550" s="1" t="s">
        <v>73</v>
      </c>
      <c r="P1550" s="2">
        <v>43774.7916666667</v>
      </c>
      <c r="Q1550" s="1" t="s">
        <v>74</v>
      </c>
      <c r="R1550" s="3">
        <v>43783.0</v>
      </c>
      <c r="S1550" s="1"/>
      <c r="T1550" s="1">
        <v>3509502.0</v>
      </c>
      <c r="U1550" s="1" t="s">
        <v>97</v>
      </c>
      <c r="V1550" s="1" t="s">
        <v>58</v>
      </c>
      <c r="W1550" s="1" t="s">
        <v>59</v>
      </c>
      <c r="X1550" s="1"/>
      <c r="Y1550" s="1" t="str">
        <f>"02027022284201931"</f>
        <v>02027022284201931</v>
      </c>
      <c r="Z1550" s="1" t="s">
        <v>76</v>
      </c>
      <c r="AA1550" s="1" t="s">
        <v>6472</v>
      </c>
      <c r="AB1550" s="1" t="str">
        <f>"67641696000106"</f>
        <v>67641696000106</v>
      </c>
      <c r="AC1550" s="1"/>
      <c r="AD1550" s="1"/>
      <c r="AE1550" s="1"/>
      <c r="AF1550" s="1">
        <v>-47.144169</v>
      </c>
      <c r="AG1550" s="1">
        <v>-23.007778</v>
      </c>
      <c r="AH1550" s="1" t="s">
        <v>3543</v>
      </c>
      <c r="AI1550" s="1"/>
      <c r="AJ1550" s="1" t="s">
        <v>64</v>
      </c>
      <c r="AK1550" s="1"/>
      <c r="AL1550" s="1" t="s">
        <v>79</v>
      </c>
      <c r="AM1550" s="1" t="s">
        <v>65</v>
      </c>
      <c r="AN1550" s="1" t="s">
        <v>102</v>
      </c>
      <c r="AO1550" s="2">
        <v>44253.0</v>
      </c>
      <c r="AP1550" s="2">
        <v>44253.7743287037</v>
      </c>
      <c r="AQ1550" s="1" t="s">
        <v>80</v>
      </c>
      <c r="AR1550" s="1" t="s">
        <v>1072</v>
      </c>
      <c r="AS1550" s="1"/>
      <c r="AT1550" s="2">
        <v>44269.931099537</v>
      </c>
    </row>
    <row r="1551" ht="13.5" customHeight="1">
      <c r="A1551" s="1">
        <v>2034508.0</v>
      </c>
      <c r="B1551" s="1" t="s">
        <v>67</v>
      </c>
      <c r="C1551" s="1" t="s">
        <v>68</v>
      </c>
      <c r="D1551" s="1" t="s">
        <v>46</v>
      </c>
      <c r="E1551" s="1" t="s">
        <v>6473</v>
      </c>
      <c r="F1551" s="1"/>
      <c r="G1551" s="1" t="s">
        <v>70</v>
      </c>
      <c r="H1551" s="1" t="s">
        <v>93</v>
      </c>
      <c r="I1551" s="1">
        <v>4000.0</v>
      </c>
      <c r="J1551" s="1"/>
      <c r="K1551" s="1"/>
      <c r="L1551" s="1" t="s">
        <v>106</v>
      </c>
      <c r="M1551" s="1" t="s">
        <v>6474</v>
      </c>
      <c r="N1551" s="1" t="s">
        <v>108</v>
      </c>
      <c r="O1551" s="1" t="s">
        <v>109</v>
      </c>
      <c r="P1551" s="2">
        <v>43774.73125</v>
      </c>
      <c r="Q1551" s="1" t="s">
        <v>74</v>
      </c>
      <c r="R1551" s="1"/>
      <c r="S1551" s="1"/>
      <c r="T1551" s="1">
        <v>2312403.0</v>
      </c>
      <c r="U1551" s="1" t="s">
        <v>1375</v>
      </c>
      <c r="V1551" s="1" t="s">
        <v>112</v>
      </c>
      <c r="W1551" s="1" t="s">
        <v>113</v>
      </c>
      <c r="X1551" s="1"/>
      <c r="Y1551" s="1" t="str">
        <f>"02007003659201900"</f>
        <v>02007003659201900</v>
      </c>
      <c r="Z1551" s="1" t="s">
        <v>114</v>
      </c>
      <c r="AA1551" s="1" t="s">
        <v>6475</v>
      </c>
      <c r="AB1551" s="1" t="str">
        <f>"10661303000109"</f>
        <v>10661303000109</v>
      </c>
      <c r="AC1551" s="1"/>
      <c r="AD1551" s="1" t="s">
        <v>116</v>
      </c>
      <c r="AE1551" s="1"/>
      <c r="AF1551" s="1">
        <v>0.0</v>
      </c>
      <c r="AG1551" s="1">
        <v>0.0</v>
      </c>
      <c r="AH1551" s="1" t="s">
        <v>6476</v>
      </c>
      <c r="AI1551" s="1"/>
      <c r="AJ1551" s="1"/>
      <c r="AK1551" s="1"/>
      <c r="AL1551" s="1" t="s">
        <v>118</v>
      </c>
      <c r="AM1551" s="1"/>
      <c r="AN1551" s="1"/>
      <c r="AO1551" s="2">
        <v>43879.7142939815</v>
      </c>
      <c r="AP1551" s="2">
        <v>43879.7142939815</v>
      </c>
      <c r="AQ1551" s="1" t="s">
        <v>80</v>
      </c>
      <c r="AR1551" s="1" t="s">
        <v>119</v>
      </c>
      <c r="AS1551" s="1"/>
      <c r="AT1551" s="2">
        <v>44269.931099537</v>
      </c>
    </row>
    <row r="1552" ht="13.5" customHeight="1">
      <c r="A1552" s="1">
        <v>2037967.0</v>
      </c>
      <c r="B1552" s="1" t="s">
        <v>67</v>
      </c>
      <c r="C1552" s="1" t="s">
        <v>68</v>
      </c>
      <c r="D1552" s="1" t="s">
        <v>46</v>
      </c>
      <c r="E1552" s="1" t="s">
        <v>6477</v>
      </c>
      <c r="F1552" s="1"/>
      <c r="G1552" s="1" t="s">
        <v>70</v>
      </c>
      <c r="H1552" s="1" t="s">
        <v>50</v>
      </c>
      <c r="I1552" s="1">
        <v>201500.0</v>
      </c>
      <c r="J1552" s="1"/>
      <c r="K1552" s="1"/>
      <c r="L1552" s="1" t="s">
        <v>167</v>
      </c>
      <c r="M1552" s="1" t="s">
        <v>6478</v>
      </c>
      <c r="N1552" s="1" t="s">
        <v>72</v>
      </c>
      <c r="O1552" s="1" t="s">
        <v>73</v>
      </c>
      <c r="P1552" s="2">
        <v>43774.7083333333</v>
      </c>
      <c r="Q1552" s="1" t="s">
        <v>74</v>
      </c>
      <c r="R1552" s="3">
        <v>43774.0</v>
      </c>
      <c r="S1552" s="1"/>
      <c r="T1552" s="1">
        <v>5105150.0</v>
      </c>
      <c r="U1552" s="1" t="s">
        <v>5635</v>
      </c>
      <c r="V1552" s="1" t="s">
        <v>164</v>
      </c>
      <c r="W1552" s="1" t="s">
        <v>177</v>
      </c>
      <c r="X1552" s="1"/>
      <c r="Y1552" s="1" t="str">
        <f>"02013006691201950"</f>
        <v>02013006691201950</v>
      </c>
      <c r="Z1552" s="1" t="s">
        <v>76</v>
      </c>
      <c r="AA1552" s="1" t="s">
        <v>6479</v>
      </c>
      <c r="AB1552" s="1" t="str">
        <f>"08802115000101"</f>
        <v>08802115000101</v>
      </c>
      <c r="AC1552" s="1"/>
      <c r="AD1552" s="1" t="s">
        <v>116</v>
      </c>
      <c r="AE1552" s="1"/>
      <c r="AF1552" s="1">
        <v>-58.79</v>
      </c>
      <c r="AG1552" s="1">
        <v>-11.561667</v>
      </c>
      <c r="AH1552" s="1" t="s">
        <v>6480</v>
      </c>
      <c r="AI1552" s="1"/>
      <c r="AJ1552" s="1" t="s">
        <v>167</v>
      </c>
      <c r="AK1552" s="1"/>
      <c r="AL1552" s="1" t="s">
        <v>118</v>
      </c>
      <c r="AM1552" s="1" t="s">
        <v>65</v>
      </c>
      <c r="AN1552" s="1" t="s">
        <v>337</v>
      </c>
      <c r="AO1552" s="2">
        <v>44016.0</v>
      </c>
      <c r="AP1552" s="2">
        <v>44057.6800694444</v>
      </c>
      <c r="AQ1552" s="1" t="s">
        <v>80</v>
      </c>
      <c r="AR1552" s="1" t="s">
        <v>6481</v>
      </c>
      <c r="AS1552" s="1"/>
      <c r="AT1552" s="2">
        <v>44269.931099537</v>
      </c>
    </row>
    <row r="1553" ht="13.5" customHeight="1">
      <c r="A1553" s="1"/>
      <c r="B1553" s="1" t="s">
        <v>46</v>
      </c>
      <c r="C1553" s="1" t="s">
        <v>47</v>
      </c>
      <c r="D1553" s="1"/>
      <c r="E1553" s="1" t="s">
        <v>6482</v>
      </c>
      <c r="F1553" s="1"/>
      <c r="G1553" s="1"/>
      <c r="H1553" s="1" t="s">
        <v>93</v>
      </c>
      <c r="I1553" s="1">
        <v>20500.0</v>
      </c>
      <c r="J1553" s="1"/>
      <c r="K1553" s="1"/>
      <c r="L1553" s="1"/>
      <c r="M1553" s="1" t="s">
        <v>6483</v>
      </c>
      <c r="N1553" s="1" t="s">
        <v>95</v>
      </c>
      <c r="O1553" s="1" t="s">
        <v>96</v>
      </c>
      <c r="P1553" s="2">
        <v>43774.6874074074</v>
      </c>
      <c r="Q1553" s="1" t="s">
        <v>373</v>
      </c>
      <c r="R1553" s="1"/>
      <c r="S1553" s="1"/>
      <c r="T1553" s="1">
        <v>5007950.0</v>
      </c>
      <c r="U1553" s="1" t="s">
        <v>6484</v>
      </c>
      <c r="V1553" s="1" t="s">
        <v>529</v>
      </c>
      <c r="W1553" s="1" t="s">
        <v>127</v>
      </c>
      <c r="X1553" s="1"/>
      <c r="Y1553" s="1"/>
      <c r="Z1553" s="1" t="s">
        <v>98</v>
      </c>
      <c r="AA1553" s="1" t="s">
        <v>6485</v>
      </c>
      <c r="AB1553" s="1" t="str">
        <f>"***060791**"</f>
        <v>***060791**</v>
      </c>
      <c r="AC1553" s="1"/>
      <c r="AD1553" s="1" t="s">
        <v>62</v>
      </c>
      <c r="AE1553" s="1"/>
      <c r="AF1553" s="1">
        <v>-55.013611</v>
      </c>
      <c r="AG1553" s="1">
        <v>-23.632778</v>
      </c>
      <c r="AH1553" s="1" t="s">
        <v>6486</v>
      </c>
      <c r="AI1553" s="1"/>
      <c r="AJ1553" s="1" t="s">
        <v>533</v>
      </c>
      <c r="AK1553" s="1"/>
      <c r="AL1553" s="1"/>
      <c r="AM1553" s="1" t="s">
        <v>65</v>
      </c>
      <c r="AN1553" s="1" t="s">
        <v>534</v>
      </c>
      <c r="AO1553" s="1"/>
      <c r="AP1553" s="2">
        <v>43774.7283564815</v>
      </c>
      <c r="AQ1553" s="1"/>
      <c r="AR1553" s="1" t="s">
        <v>238</v>
      </c>
      <c r="AS1553" s="1"/>
      <c r="AT1553" s="2">
        <v>44269.931099537</v>
      </c>
    </row>
    <row r="1554" ht="13.5" customHeight="1">
      <c r="A1554" s="1"/>
      <c r="B1554" s="1" t="s">
        <v>46</v>
      </c>
      <c r="C1554" s="1" t="s">
        <v>47</v>
      </c>
      <c r="D1554" s="1"/>
      <c r="E1554" s="1" t="s">
        <v>6487</v>
      </c>
      <c r="F1554" s="1"/>
      <c r="G1554" s="1" t="s">
        <v>49</v>
      </c>
      <c r="H1554" s="1" t="s">
        <v>50</v>
      </c>
      <c r="I1554" s="1">
        <v>2000.0</v>
      </c>
      <c r="J1554" s="1"/>
      <c r="K1554" s="1" t="s">
        <v>51</v>
      </c>
      <c r="L1554" s="1"/>
      <c r="M1554" s="1" t="s">
        <v>6488</v>
      </c>
      <c r="N1554" s="1" t="s">
        <v>123</v>
      </c>
      <c r="O1554" s="1" t="s">
        <v>73</v>
      </c>
      <c r="P1554" s="2">
        <v>43774.6776736111</v>
      </c>
      <c r="Q1554" s="1" t="s">
        <v>74</v>
      </c>
      <c r="R1554" s="3">
        <v>43794.0</v>
      </c>
      <c r="S1554" s="1"/>
      <c r="T1554" s="1">
        <v>3509502.0</v>
      </c>
      <c r="U1554" s="1" t="s">
        <v>97</v>
      </c>
      <c r="V1554" s="1" t="s">
        <v>58</v>
      </c>
      <c r="W1554" s="1" t="s">
        <v>59</v>
      </c>
      <c r="X1554" s="1"/>
      <c r="Y1554" s="1"/>
      <c r="Z1554" s="1" t="s">
        <v>76</v>
      </c>
      <c r="AA1554" s="1" t="s">
        <v>6489</v>
      </c>
      <c r="AB1554" s="1" t="str">
        <f t="shared" ref="AB1554:AB1556" si="92">"06293775000189"</f>
        <v>06293775000189</v>
      </c>
      <c r="AC1554" s="1"/>
      <c r="AD1554" s="1" t="s">
        <v>149</v>
      </c>
      <c r="AE1554" s="1"/>
      <c r="AF1554" s="1">
        <v>-47.144169</v>
      </c>
      <c r="AG1554" s="1">
        <v>-23.007778</v>
      </c>
      <c r="AH1554" s="1" t="s">
        <v>3543</v>
      </c>
      <c r="AI1554" s="1"/>
      <c r="AJ1554" s="1" t="s">
        <v>64</v>
      </c>
      <c r="AK1554" s="1"/>
      <c r="AL1554" s="1"/>
      <c r="AM1554" s="1" t="s">
        <v>65</v>
      </c>
      <c r="AN1554" s="1" t="s">
        <v>102</v>
      </c>
      <c r="AO1554" s="1"/>
      <c r="AP1554" s="2">
        <v>44183.7959259259</v>
      </c>
      <c r="AQ1554" s="1"/>
      <c r="AR1554" s="1" t="s">
        <v>494</v>
      </c>
      <c r="AS1554" s="1"/>
      <c r="AT1554" s="2">
        <v>44269.931099537</v>
      </c>
    </row>
    <row r="1555" ht="13.5" customHeight="1">
      <c r="A1555" s="1"/>
      <c r="B1555" s="1" t="s">
        <v>46</v>
      </c>
      <c r="C1555" s="1" t="s">
        <v>47</v>
      </c>
      <c r="D1555" s="1"/>
      <c r="E1555" s="1" t="s">
        <v>6490</v>
      </c>
      <c r="F1555" s="1"/>
      <c r="G1555" s="1" t="s">
        <v>5034</v>
      </c>
      <c r="H1555" s="1" t="s">
        <v>50</v>
      </c>
      <c r="I1555" s="1">
        <v>250.0</v>
      </c>
      <c r="J1555" s="1"/>
      <c r="K1555" s="1" t="s">
        <v>51</v>
      </c>
      <c r="L1555" s="1"/>
      <c r="M1555" s="1" t="s">
        <v>6491</v>
      </c>
      <c r="N1555" s="1" t="s">
        <v>977</v>
      </c>
      <c r="O1555" s="1" t="s">
        <v>978</v>
      </c>
      <c r="P1555" s="2">
        <v>43774.6623032407</v>
      </c>
      <c r="Q1555" s="1" t="s">
        <v>74</v>
      </c>
      <c r="R1555" s="3">
        <v>43774.0</v>
      </c>
      <c r="S1555" s="1"/>
      <c r="T1555" s="1">
        <v>3509502.0</v>
      </c>
      <c r="U1555" s="1" t="s">
        <v>97</v>
      </c>
      <c r="V1555" s="1" t="s">
        <v>58</v>
      </c>
      <c r="W1555" s="1" t="s">
        <v>59</v>
      </c>
      <c r="X1555" s="1"/>
      <c r="Y1555" s="1"/>
      <c r="Z1555" s="1" t="s">
        <v>980</v>
      </c>
      <c r="AA1555" s="1" t="s">
        <v>6489</v>
      </c>
      <c r="AB1555" s="1" t="str">
        <f t="shared" si="92"/>
        <v>06293775000189</v>
      </c>
      <c r="AC1555" s="1"/>
      <c r="AD1555" s="1" t="s">
        <v>149</v>
      </c>
      <c r="AE1555" s="1"/>
      <c r="AF1555" s="1">
        <v>-47.144169</v>
      </c>
      <c r="AG1555" s="1">
        <v>-23.007778</v>
      </c>
      <c r="AH1555" s="1" t="s">
        <v>3543</v>
      </c>
      <c r="AI1555" s="1"/>
      <c r="AJ1555" s="1" t="s">
        <v>64</v>
      </c>
      <c r="AK1555" s="1"/>
      <c r="AL1555" s="1"/>
      <c r="AM1555" s="1" t="s">
        <v>65</v>
      </c>
      <c r="AN1555" s="1" t="s">
        <v>102</v>
      </c>
      <c r="AO1555" s="1"/>
      <c r="AP1555" s="2">
        <v>44183.7960300926</v>
      </c>
      <c r="AQ1555" s="1"/>
      <c r="AR1555" s="1" t="s">
        <v>984</v>
      </c>
      <c r="AS1555" s="1"/>
      <c r="AT1555" s="2">
        <v>44269.931099537</v>
      </c>
    </row>
    <row r="1556" ht="13.5" customHeight="1">
      <c r="A1556" s="1"/>
      <c r="B1556" s="1" t="s">
        <v>46</v>
      </c>
      <c r="C1556" s="1" t="s">
        <v>47</v>
      </c>
      <c r="D1556" s="1"/>
      <c r="E1556" s="1" t="s">
        <v>6492</v>
      </c>
      <c r="F1556" s="1"/>
      <c r="G1556" s="1" t="s">
        <v>5034</v>
      </c>
      <c r="H1556" s="1" t="s">
        <v>50</v>
      </c>
      <c r="I1556" s="1">
        <v>250.0</v>
      </c>
      <c r="J1556" s="1"/>
      <c r="K1556" s="1" t="s">
        <v>51</v>
      </c>
      <c r="L1556" s="1"/>
      <c r="M1556" s="1" t="s">
        <v>6493</v>
      </c>
      <c r="N1556" s="1" t="s">
        <v>977</v>
      </c>
      <c r="O1556" s="1" t="s">
        <v>978</v>
      </c>
      <c r="P1556" s="2">
        <v>43774.6514583333</v>
      </c>
      <c r="Q1556" s="1" t="s">
        <v>74</v>
      </c>
      <c r="R1556" s="3">
        <v>43794.0</v>
      </c>
      <c r="S1556" s="1"/>
      <c r="T1556" s="1">
        <v>3509502.0</v>
      </c>
      <c r="U1556" s="1" t="s">
        <v>97</v>
      </c>
      <c r="V1556" s="1" t="s">
        <v>58</v>
      </c>
      <c r="W1556" s="1" t="s">
        <v>59</v>
      </c>
      <c r="X1556" s="1"/>
      <c r="Y1556" s="1"/>
      <c r="Z1556" s="1" t="s">
        <v>980</v>
      </c>
      <c r="AA1556" s="1" t="s">
        <v>6494</v>
      </c>
      <c r="AB1556" s="1" t="str">
        <f t="shared" si="92"/>
        <v>06293775000189</v>
      </c>
      <c r="AC1556" s="1"/>
      <c r="AD1556" s="1" t="s">
        <v>149</v>
      </c>
      <c r="AE1556" s="1"/>
      <c r="AF1556" s="1">
        <v>-47.144169</v>
      </c>
      <c r="AG1556" s="1">
        <v>-23.007778</v>
      </c>
      <c r="AH1556" s="1" t="s">
        <v>3543</v>
      </c>
      <c r="AI1556" s="1"/>
      <c r="AJ1556" s="1" t="s">
        <v>64</v>
      </c>
      <c r="AK1556" s="1"/>
      <c r="AL1556" s="1"/>
      <c r="AM1556" s="1" t="s">
        <v>65</v>
      </c>
      <c r="AN1556" s="1" t="s">
        <v>102</v>
      </c>
      <c r="AO1556" s="1"/>
      <c r="AP1556" s="2">
        <v>44183.7963194444</v>
      </c>
      <c r="AQ1556" s="1"/>
      <c r="AR1556" s="1" t="s">
        <v>984</v>
      </c>
      <c r="AS1556" s="1"/>
      <c r="AT1556" s="2">
        <v>44269.931099537</v>
      </c>
    </row>
    <row r="1557" ht="13.5" customHeight="1">
      <c r="A1557" s="1">
        <v>2040233.0</v>
      </c>
      <c r="B1557" s="1" t="s">
        <v>67</v>
      </c>
      <c r="C1557" s="1" t="s">
        <v>68</v>
      </c>
      <c r="D1557" s="1" t="s">
        <v>46</v>
      </c>
      <c r="E1557" s="1" t="s">
        <v>6495</v>
      </c>
      <c r="F1557" s="1"/>
      <c r="G1557" s="1" t="s">
        <v>70</v>
      </c>
      <c r="H1557" s="1" t="s">
        <v>50</v>
      </c>
      <c r="I1557" s="1">
        <v>250.0</v>
      </c>
      <c r="J1557" s="1"/>
      <c r="K1557" s="1"/>
      <c r="L1557" s="1" t="s">
        <v>64</v>
      </c>
      <c r="M1557" s="1" t="s">
        <v>6496</v>
      </c>
      <c r="N1557" s="1" t="s">
        <v>283</v>
      </c>
      <c r="O1557" s="1" t="s">
        <v>978</v>
      </c>
      <c r="P1557" s="2">
        <v>43774.625</v>
      </c>
      <c r="Q1557" s="1" t="s">
        <v>74</v>
      </c>
      <c r="R1557" s="3">
        <v>43810.0</v>
      </c>
      <c r="S1557" s="1"/>
      <c r="T1557" s="1">
        <v>3509502.0</v>
      </c>
      <c r="U1557" s="1" t="s">
        <v>97</v>
      </c>
      <c r="V1557" s="1" t="s">
        <v>58</v>
      </c>
      <c r="W1557" s="1" t="s">
        <v>59</v>
      </c>
      <c r="X1557" s="1"/>
      <c r="Y1557" s="1" t="str">
        <f>"02027022282201941"</f>
        <v>02027022282201941</v>
      </c>
      <c r="Z1557" s="1" t="s">
        <v>980</v>
      </c>
      <c r="AA1557" s="1" t="s">
        <v>6472</v>
      </c>
      <c r="AB1557" s="1" t="str">
        <f>"67641696000106"</f>
        <v>67641696000106</v>
      </c>
      <c r="AC1557" s="1"/>
      <c r="AD1557" s="1"/>
      <c r="AE1557" s="1"/>
      <c r="AF1557" s="1">
        <v>-47.144169</v>
      </c>
      <c r="AG1557" s="1">
        <v>-23.007778</v>
      </c>
      <c r="AH1557" s="1" t="s">
        <v>3543</v>
      </c>
      <c r="AI1557" s="1"/>
      <c r="AJ1557" s="1" t="s">
        <v>64</v>
      </c>
      <c r="AK1557" s="1"/>
      <c r="AL1557" s="1" t="s">
        <v>79</v>
      </c>
      <c r="AM1557" s="1" t="s">
        <v>65</v>
      </c>
      <c r="AN1557" s="1" t="s">
        <v>102</v>
      </c>
      <c r="AO1557" s="2">
        <v>44118.0</v>
      </c>
      <c r="AP1557" s="2">
        <v>44118.4099884259</v>
      </c>
      <c r="AQ1557" s="1" t="s">
        <v>80</v>
      </c>
      <c r="AR1557" s="1" t="s">
        <v>4343</v>
      </c>
      <c r="AS1557" s="1"/>
      <c r="AT1557" s="2">
        <v>44269.931099537</v>
      </c>
    </row>
    <row r="1558" ht="13.5" customHeight="1">
      <c r="A1558" s="1"/>
      <c r="B1558" s="1" t="s">
        <v>46</v>
      </c>
      <c r="C1558" s="1" t="s">
        <v>47</v>
      </c>
      <c r="D1558" s="1"/>
      <c r="E1558" s="1" t="s">
        <v>6497</v>
      </c>
      <c r="F1558" s="1"/>
      <c r="G1558" s="1" t="s">
        <v>49</v>
      </c>
      <c r="H1558" s="1" t="s">
        <v>93</v>
      </c>
      <c r="I1558" s="1">
        <v>12444.0</v>
      </c>
      <c r="J1558" s="1"/>
      <c r="K1558" s="1"/>
      <c r="L1558" s="1"/>
      <c r="M1558" s="1" t="s">
        <v>6498</v>
      </c>
      <c r="N1558" s="1" t="s">
        <v>142</v>
      </c>
      <c r="O1558" s="1" t="s">
        <v>143</v>
      </c>
      <c r="P1558" s="2">
        <v>43774.6206134259</v>
      </c>
      <c r="Q1558" s="1" t="s">
        <v>373</v>
      </c>
      <c r="R1558" s="1"/>
      <c r="S1558" s="1"/>
      <c r="T1558" s="1">
        <v>2207009.0</v>
      </c>
      <c r="U1558" s="1" t="s">
        <v>6499</v>
      </c>
      <c r="V1558" s="1" t="s">
        <v>895</v>
      </c>
      <c r="W1558" s="1" t="s">
        <v>113</v>
      </c>
      <c r="X1558" s="1"/>
      <c r="Y1558" s="1"/>
      <c r="Z1558" s="1" t="s">
        <v>147</v>
      </c>
      <c r="AA1558" s="1" t="s">
        <v>6500</v>
      </c>
      <c r="AB1558" s="1" t="str">
        <f>"***862924**"</f>
        <v>***862924**</v>
      </c>
      <c r="AC1558" s="1"/>
      <c r="AD1558" s="1" t="s">
        <v>149</v>
      </c>
      <c r="AE1558" s="1"/>
      <c r="AF1558" s="1">
        <v>-42.121666</v>
      </c>
      <c r="AG1558" s="1"/>
      <c r="AH1558" s="1" t="s">
        <v>6501</v>
      </c>
      <c r="AI1558" s="1"/>
      <c r="AJ1558" s="1" t="s">
        <v>898</v>
      </c>
      <c r="AK1558" s="1"/>
      <c r="AL1558" s="1"/>
      <c r="AM1558" s="1" t="s">
        <v>65</v>
      </c>
      <c r="AN1558" s="1" t="s">
        <v>152</v>
      </c>
      <c r="AO1558" s="1"/>
      <c r="AP1558" s="2">
        <v>44050.7589583333</v>
      </c>
      <c r="AQ1558" s="1"/>
      <c r="AR1558" s="1" t="s">
        <v>280</v>
      </c>
      <c r="AS1558" s="1"/>
      <c r="AT1558" s="2">
        <v>44269.931099537</v>
      </c>
    </row>
    <row r="1559" ht="13.5" customHeight="1">
      <c r="A1559" s="1"/>
      <c r="B1559" s="1" t="s">
        <v>46</v>
      </c>
      <c r="C1559" s="1" t="s">
        <v>47</v>
      </c>
      <c r="D1559" s="1"/>
      <c r="E1559" s="1" t="s">
        <v>6502</v>
      </c>
      <c r="F1559" s="1"/>
      <c r="G1559" s="1"/>
      <c r="H1559" s="1" t="s">
        <v>93</v>
      </c>
      <c r="I1559" s="1">
        <v>900.0</v>
      </c>
      <c r="J1559" s="1"/>
      <c r="K1559" s="1"/>
      <c r="L1559" s="1"/>
      <c r="M1559" s="1" t="s">
        <v>6503</v>
      </c>
      <c r="N1559" s="1" t="s">
        <v>142</v>
      </c>
      <c r="O1559" s="1" t="s">
        <v>143</v>
      </c>
      <c r="P1559" s="2">
        <v>43774.5837384259</v>
      </c>
      <c r="Q1559" s="1" t="s">
        <v>55</v>
      </c>
      <c r="R1559" s="1"/>
      <c r="S1559" s="1"/>
      <c r="T1559" s="1">
        <v>2615607.0</v>
      </c>
      <c r="U1559" s="1" t="s">
        <v>5422</v>
      </c>
      <c r="V1559" s="1" t="s">
        <v>1037</v>
      </c>
      <c r="W1559" s="1" t="s">
        <v>113</v>
      </c>
      <c r="X1559" s="1"/>
      <c r="Y1559" s="1"/>
      <c r="Z1559" s="1" t="s">
        <v>147</v>
      </c>
      <c r="AA1559" s="1" t="s">
        <v>6504</v>
      </c>
      <c r="AB1559" s="1" t="str">
        <f t="shared" ref="AB1559:AB1560" si="93">"29330104000146"</f>
        <v>29330104000146</v>
      </c>
      <c r="AC1559" s="1"/>
      <c r="AD1559" s="1" t="s">
        <v>116</v>
      </c>
      <c r="AE1559" s="1"/>
      <c r="AF1559" s="1">
        <v>-40.270279</v>
      </c>
      <c r="AG1559" s="1">
        <v>-7.754167</v>
      </c>
      <c r="AH1559" s="1" t="s">
        <v>6505</v>
      </c>
      <c r="AI1559" s="1"/>
      <c r="AJ1559" s="1" t="s">
        <v>1040</v>
      </c>
      <c r="AK1559" s="1"/>
      <c r="AL1559" s="1"/>
      <c r="AM1559" s="1" t="s">
        <v>65</v>
      </c>
      <c r="AN1559" s="1" t="s">
        <v>1279</v>
      </c>
      <c r="AO1559" s="1"/>
      <c r="AP1559" s="2">
        <v>43774.5991319444</v>
      </c>
      <c r="AQ1559" s="1"/>
      <c r="AR1559" s="1" t="s">
        <v>280</v>
      </c>
      <c r="AS1559" s="1"/>
      <c r="AT1559" s="2">
        <v>44269.931099537</v>
      </c>
    </row>
    <row r="1560" ht="13.5" customHeight="1">
      <c r="A1560" s="1">
        <v>2042689.0</v>
      </c>
      <c r="B1560" s="1" t="s">
        <v>67</v>
      </c>
      <c r="C1560" s="1" t="s">
        <v>68</v>
      </c>
      <c r="D1560" s="1" t="s">
        <v>46</v>
      </c>
      <c r="E1560" s="1" t="s">
        <v>6506</v>
      </c>
      <c r="F1560" s="1"/>
      <c r="G1560" s="1" t="s">
        <v>70</v>
      </c>
      <c r="H1560" s="1" t="s">
        <v>50</v>
      </c>
      <c r="I1560" s="1">
        <v>500.0</v>
      </c>
      <c r="J1560" s="1"/>
      <c r="K1560" s="1"/>
      <c r="L1560" s="1" t="s">
        <v>1040</v>
      </c>
      <c r="M1560" s="1" t="s">
        <v>6507</v>
      </c>
      <c r="N1560" s="1" t="s">
        <v>72</v>
      </c>
      <c r="O1560" s="1" t="s">
        <v>213</v>
      </c>
      <c r="P1560" s="2">
        <v>43774.5833333333</v>
      </c>
      <c r="Q1560" s="1" t="s">
        <v>55</v>
      </c>
      <c r="R1560" s="1"/>
      <c r="S1560" s="1"/>
      <c r="T1560" s="1">
        <v>2615607.0</v>
      </c>
      <c r="U1560" s="1" t="s">
        <v>5422</v>
      </c>
      <c r="V1560" s="1" t="s">
        <v>1037</v>
      </c>
      <c r="W1560" s="1" t="s">
        <v>113</v>
      </c>
      <c r="X1560" s="1"/>
      <c r="Y1560" s="1"/>
      <c r="Z1560" s="1" t="s">
        <v>215</v>
      </c>
      <c r="AA1560" s="1" t="s">
        <v>6504</v>
      </c>
      <c r="AB1560" s="1" t="str">
        <f t="shared" si="93"/>
        <v>29330104000146</v>
      </c>
      <c r="AC1560" s="1"/>
      <c r="AD1560" s="1"/>
      <c r="AE1560" s="1"/>
      <c r="AF1560" s="1">
        <v>-40.270279</v>
      </c>
      <c r="AG1560" s="1">
        <v>-7.754167</v>
      </c>
      <c r="AH1560" s="1" t="s">
        <v>6508</v>
      </c>
      <c r="AI1560" s="1"/>
      <c r="AJ1560" s="1" t="s">
        <v>1040</v>
      </c>
      <c r="AK1560" s="1"/>
      <c r="AL1560" s="1" t="s">
        <v>79</v>
      </c>
      <c r="AM1560" s="1" t="s">
        <v>65</v>
      </c>
      <c r="AN1560" s="1" t="s">
        <v>1279</v>
      </c>
      <c r="AO1560" s="2">
        <v>44215.0</v>
      </c>
      <c r="AP1560" s="2">
        <v>44215.7400347222</v>
      </c>
      <c r="AQ1560" s="1" t="s">
        <v>80</v>
      </c>
      <c r="AR1560" s="1" t="s">
        <v>909</v>
      </c>
      <c r="AS1560" s="1"/>
      <c r="AT1560" s="2">
        <v>44269.931099537</v>
      </c>
    </row>
    <row r="1561" ht="13.5" customHeight="1">
      <c r="A1561" s="1"/>
      <c r="B1561" s="1" t="s">
        <v>46</v>
      </c>
      <c r="C1561" s="1" t="s">
        <v>47</v>
      </c>
      <c r="D1561" s="1"/>
      <c r="E1561" s="1" t="s">
        <v>6509</v>
      </c>
      <c r="F1561" s="1"/>
      <c r="G1561" s="1"/>
      <c r="H1561" s="1" t="s">
        <v>93</v>
      </c>
      <c r="I1561" s="1">
        <v>140500.0</v>
      </c>
      <c r="J1561" s="1"/>
      <c r="K1561" s="1" t="s">
        <v>140</v>
      </c>
      <c r="L1561" s="1"/>
      <c r="M1561" s="1" t="s">
        <v>6510</v>
      </c>
      <c r="N1561" s="1" t="s">
        <v>977</v>
      </c>
      <c r="O1561" s="1" t="s">
        <v>978</v>
      </c>
      <c r="P1561" s="2">
        <v>43774.5476388889</v>
      </c>
      <c r="Q1561" s="1" t="s">
        <v>74</v>
      </c>
      <c r="R1561" s="3">
        <v>43787.0</v>
      </c>
      <c r="S1561" s="1"/>
      <c r="T1561" s="1">
        <v>4108809.0</v>
      </c>
      <c r="U1561" s="1" t="s">
        <v>6511</v>
      </c>
      <c r="V1561" s="1" t="s">
        <v>176</v>
      </c>
      <c r="W1561" s="1" t="s">
        <v>59</v>
      </c>
      <c r="X1561" s="1"/>
      <c r="Y1561" s="1"/>
      <c r="Z1561" s="1" t="s">
        <v>980</v>
      </c>
      <c r="AA1561" s="1" t="s">
        <v>6512</v>
      </c>
      <c r="AB1561" s="1" t="str">
        <f>"***869679**"</f>
        <v>***869679**</v>
      </c>
      <c r="AC1561" s="1"/>
      <c r="AD1561" s="1" t="s">
        <v>149</v>
      </c>
      <c r="AE1561" s="1"/>
      <c r="AF1561" s="1">
        <v>-54.169167</v>
      </c>
      <c r="AG1561" s="1">
        <v>-24.190556</v>
      </c>
      <c r="AH1561" s="1" t="s">
        <v>6513</v>
      </c>
      <c r="AI1561" s="1"/>
      <c r="AJ1561" s="1" t="s">
        <v>358</v>
      </c>
      <c r="AK1561" s="1"/>
      <c r="AL1561" s="1"/>
      <c r="AM1561" s="1" t="s">
        <v>65</v>
      </c>
      <c r="AN1561" s="1" t="s">
        <v>6514</v>
      </c>
      <c r="AO1561" s="1"/>
      <c r="AP1561" s="2">
        <v>43780.4563194444</v>
      </c>
      <c r="AQ1561" s="1"/>
      <c r="AR1561" s="1" t="s">
        <v>6515</v>
      </c>
      <c r="AS1561" s="1"/>
      <c r="AT1561" s="2">
        <v>44269.931099537</v>
      </c>
    </row>
    <row r="1562" ht="13.5" customHeight="1">
      <c r="A1562" s="1">
        <v>2034796.0</v>
      </c>
      <c r="B1562" s="1" t="s">
        <v>67</v>
      </c>
      <c r="C1562" s="1" t="s">
        <v>68</v>
      </c>
      <c r="D1562" s="1" t="s">
        <v>46</v>
      </c>
      <c r="E1562" s="1" t="s">
        <v>6516</v>
      </c>
      <c r="F1562" s="1"/>
      <c r="G1562" s="1" t="s">
        <v>70</v>
      </c>
      <c r="H1562" s="1" t="s">
        <v>93</v>
      </c>
      <c r="I1562" s="1">
        <v>59100.0</v>
      </c>
      <c r="J1562" s="1"/>
      <c r="K1562" s="1"/>
      <c r="L1562" s="1" t="s">
        <v>386</v>
      </c>
      <c r="M1562" s="1" t="s">
        <v>6517</v>
      </c>
      <c r="N1562" s="1" t="s">
        <v>142</v>
      </c>
      <c r="O1562" s="1" t="s">
        <v>143</v>
      </c>
      <c r="P1562" s="2">
        <v>43774.5416666667</v>
      </c>
      <c r="Q1562" s="1" t="s">
        <v>373</v>
      </c>
      <c r="R1562" s="3">
        <v>43774.0</v>
      </c>
      <c r="S1562" s="1"/>
      <c r="T1562" s="1">
        <v>1717503.0</v>
      </c>
      <c r="U1562" s="1" t="s">
        <v>6518</v>
      </c>
      <c r="V1562" s="1" t="s">
        <v>2156</v>
      </c>
      <c r="W1562" s="1" t="s">
        <v>127</v>
      </c>
      <c r="X1562" s="1"/>
      <c r="Y1562" s="1" t="str">
        <f>"02029001482201941"</f>
        <v>02029001482201941</v>
      </c>
      <c r="Z1562" s="1" t="s">
        <v>147</v>
      </c>
      <c r="AA1562" s="1" t="s">
        <v>6519</v>
      </c>
      <c r="AB1562" s="1" t="str">
        <f>"***908940**"</f>
        <v>***908940**</v>
      </c>
      <c r="AC1562" s="1"/>
      <c r="AD1562" s="1"/>
      <c r="AE1562" s="1"/>
      <c r="AF1562" s="1">
        <v>-49.855553</v>
      </c>
      <c r="AG1562" s="1">
        <v>-10.437778</v>
      </c>
      <c r="AH1562" s="1" t="s">
        <v>6520</v>
      </c>
      <c r="AI1562" s="1"/>
      <c r="AJ1562" s="1" t="s">
        <v>386</v>
      </c>
      <c r="AK1562" s="1"/>
      <c r="AL1562" s="1" t="s">
        <v>79</v>
      </c>
      <c r="AM1562" s="1" t="s">
        <v>65</v>
      </c>
      <c r="AN1562" s="1" t="s">
        <v>391</v>
      </c>
      <c r="AO1562" s="2">
        <v>43892.0</v>
      </c>
      <c r="AP1562" s="2">
        <v>43892.4255092593</v>
      </c>
      <c r="AQ1562" s="1" t="s">
        <v>80</v>
      </c>
      <c r="AR1562" s="1" t="s">
        <v>3298</v>
      </c>
      <c r="AS1562" s="1"/>
      <c r="AT1562" s="2">
        <v>44269.931099537</v>
      </c>
    </row>
    <row r="1563" ht="13.5" customHeight="1">
      <c r="A1563" s="1">
        <v>2042706.0</v>
      </c>
      <c r="B1563" s="1" t="s">
        <v>67</v>
      </c>
      <c r="C1563" s="1" t="s">
        <v>68</v>
      </c>
      <c r="D1563" s="1" t="s">
        <v>46</v>
      </c>
      <c r="E1563" s="1" t="s">
        <v>6521</v>
      </c>
      <c r="F1563" s="1"/>
      <c r="G1563" s="1" t="s">
        <v>70</v>
      </c>
      <c r="H1563" s="1" t="s">
        <v>93</v>
      </c>
      <c r="I1563" s="1">
        <v>15300.0</v>
      </c>
      <c r="J1563" s="1"/>
      <c r="K1563" s="1"/>
      <c r="L1563" s="1" t="s">
        <v>1040</v>
      </c>
      <c r="M1563" s="1" t="s">
        <v>6522</v>
      </c>
      <c r="N1563" s="1" t="s">
        <v>142</v>
      </c>
      <c r="O1563" s="1" t="s">
        <v>143</v>
      </c>
      <c r="P1563" s="2">
        <v>43774.5416666667</v>
      </c>
      <c r="Q1563" s="1" t="s">
        <v>55</v>
      </c>
      <c r="R1563" s="1"/>
      <c r="S1563" s="1"/>
      <c r="T1563" s="1">
        <v>2615607.0</v>
      </c>
      <c r="U1563" s="1" t="s">
        <v>5422</v>
      </c>
      <c r="V1563" s="1" t="s">
        <v>1037</v>
      </c>
      <c r="W1563" s="1" t="s">
        <v>113</v>
      </c>
      <c r="X1563" s="1"/>
      <c r="Y1563" s="1" t="str">
        <f>"02019003777201971"</f>
        <v>02019003777201971</v>
      </c>
      <c r="Z1563" s="1" t="s">
        <v>147</v>
      </c>
      <c r="AA1563" s="1" t="s">
        <v>6523</v>
      </c>
      <c r="AB1563" s="1" t="str">
        <f>"10382921000110"</f>
        <v>10382921000110</v>
      </c>
      <c r="AC1563" s="1"/>
      <c r="AD1563" s="1"/>
      <c r="AE1563" s="1"/>
      <c r="AF1563" s="1">
        <v>-40.231388</v>
      </c>
      <c r="AG1563" s="1">
        <v>-7.7325</v>
      </c>
      <c r="AH1563" s="1" t="s">
        <v>6524</v>
      </c>
      <c r="AI1563" s="1"/>
      <c r="AJ1563" s="1" t="s">
        <v>1040</v>
      </c>
      <c r="AK1563" s="1"/>
      <c r="AL1563" s="1" t="s">
        <v>79</v>
      </c>
      <c r="AM1563" s="1" t="s">
        <v>65</v>
      </c>
      <c r="AN1563" s="1" t="s">
        <v>1279</v>
      </c>
      <c r="AO1563" s="2">
        <v>44215.0</v>
      </c>
      <c r="AP1563" s="2">
        <v>44215.7785532407</v>
      </c>
      <c r="AQ1563" s="1" t="s">
        <v>80</v>
      </c>
      <c r="AR1563" s="1" t="s">
        <v>181</v>
      </c>
      <c r="AS1563" s="1"/>
      <c r="AT1563" s="2">
        <v>44269.931099537</v>
      </c>
    </row>
    <row r="1564" ht="13.5" customHeight="1">
      <c r="A1564" s="1">
        <v>2034795.0</v>
      </c>
      <c r="B1564" s="1" t="s">
        <v>67</v>
      </c>
      <c r="C1564" s="1" t="s">
        <v>68</v>
      </c>
      <c r="D1564" s="1" t="s">
        <v>46</v>
      </c>
      <c r="E1564" s="1" t="s">
        <v>6525</v>
      </c>
      <c r="F1564" s="1"/>
      <c r="G1564" s="1" t="s">
        <v>70</v>
      </c>
      <c r="H1564" s="1" t="s">
        <v>93</v>
      </c>
      <c r="I1564" s="1">
        <v>1225000.0</v>
      </c>
      <c r="J1564" s="1"/>
      <c r="K1564" s="1"/>
      <c r="L1564" s="1" t="s">
        <v>386</v>
      </c>
      <c r="M1564" s="1" t="s">
        <v>6526</v>
      </c>
      <c r="N1564" s="1" t="s">
        <v>142</v>
      </c>
      <c r="O1564" s="1" t="s">
        <v>143</v>
      </c>
      <c r="P1564" s="2">
        <v>43774.5</v>
      </c>
      <c r="Q1564" s="1" t="s">
        <v>373</v>
      </c>
      <c r="R1564" s="3">
        <v>43774.0</v>
      </c>
      <c r="S1564" s="1"/>
      <c r="T1564" s="1">
        <v>1717503.0</v>
      </c>
      <c r="U1564" s="1" t="s">
        <v>6518</v>
      </c>
      <c r="V1564" s="1" t="s">
        <v>2156</v>
      </c>
      <c r="W1564" s="1" t="s">
        <v>127</v>
      </c>
      <c r="X1564" s="1"/>
      <c r="Y1564" s="1" t="str">
        <f>"02029001468201947"</f>
        <v>02029001468201947</v>
      </c>
      <c r="Z1564" s="1" t="s">
        <v>147</v>
      </c>
      <c r="AA1564" s="1" t="s">
        <v>6519</v>
      </c>
      <c r="AB1564" s="1" t="str">
        <f>"***908940**"</f>
        <v>***908940**</v>
      </c>
      <c r="AC1564" s="1"/>
      <c r="AD1564" s="1"/>
      <c r="AE1564" s="1"/>
      <c r="AF1564" s="1">
        <v>-49.8475</v>
      </c>
      <c r="AG1564" s="1">
        <v>-10.436945</v>
      </c>
      <c r="AH1564" s="1" t="s">
        <v>6520</v>
      </c>
      <c r="AI1564" s="1"/>
      <c r="AJ1564" s="1" t="s">
        <v>386</v>
      </c>
      <c r="AK1564" s="1"/>
      <c r="AL1564" s="1" t="s">
        <v>79</v>
      </c>
      <c r="AM1564" s="1" t="s">
        <v>65</v>
      </c>
      <c r="AN1564" s="1" t="s">
        <v>391</v>
      </c>
      <c r="AO1564" s="2">
        <v>43892.0</v>
      </c>
      <c r="AP1564" s="2">
        <v>43892.4252777778</v>
      </c>
      <c r="AQ1564" s="1" t="s">
        <v>80</v>
      </c>
      <c r="AR1564" s="1" t="s">
        <v>451</v>
      </c>
      <c r="AS1564" s="1"/>
      <c r="AT1564" s="2">
        <v>44269.931099537</v>
      </c>
    </row>
    <row r="1565" ht="13.5" customHeight="1">
      <c r="A1565" s="1">
        <v>2036027.0</v>
      </c>
      <c r="B1565" s="1" t="s">
        <v>67</v>
      </c>
      <c r="C1565" s="1" t="s">
        <v>68</v>
      </c>
      <c r="D1565" s="1" t="s">
        <v>46</v>
      </c>
      <c r="E1565" s="1" t="s">
        <v>6527</v>
      </c>
      <c r="F1565" s="1"/>
      <c r="G1565" s="1" t="s">
        <v>70</v>
      </c>
      <c r="H1565" s="1" t="s">
        <v>93</v>
      </c>
      <c r="I1565" s="1">
        <v>136560.0</v>
      </c>
      <c r="J1565" s="1"/>
      <c r="K1565" s="1"/>
      <c r="L1565" s="1" t="s">
        <v>371</v>
      </c>
      <c r="M1565" s="1" t="s">
        <v>6528</v>
      </c>
      <c r="N1565" s="1" t="s">
        <v>142</v>
      </c>
      <c r="O1565" s="1" t="s">
        <v>143</v>
      </c>
      <c r="P1565" s="2">
        <v>43774.5</v>
      </c>
      <c r="Q1565" s="1" t="s">
        <v>373</v>
      </c>
      <c r="R1565" s="3">
        <v>43774.0</v>
      </c>
      <c r="S1565" s="1"/>
      <c r="T1565" s="1">
        <v>5220009.0</v>
      </c>
      <c r="U1565" s="1" t="s">
        <v>5336</v>
      </c>
      <c r="V1565" s="1" t="s">
        <v>375</v>
      </c>
      <c r="W1565" s="1" t="s">
        <v>127</v>
      </c>
      <c r="X1565" s="1"/>
      <c r="Y1565" s="1" t="str">
        <f>"02010001361202031"</f>
        <v>02010001361202031</v>
      </c>
      <c r="Z1565" s="1" t="s">
        <v>147</v>
      </c>
      <c r="AA1565" s="1" t="s">
        <v>6529</v>
      </c>
      <c r="AB1565" s="1" t="str">
        <f>"***053771**"</f>
        <v>***053771**</v>
      </c>
      <c r="AC1565" s="1"/>
      <c r="AD1565" s="1" t="s">
        <v>116</v>
      </c>
      <c r="AE1565" s="1"/>
      <c r="AF1565" s="1">
        <v>-47.432222</v>
      </c>
      <c r="AG1565" s="1">
        <v>-14.342222</v>
      </c>
      <c r="AH1565" s="1" t="s">
        <v>6530</v>
      </c>
      <c r="AI1565" s="1"/>
      <c r="AJ1565" s="1" t="s">
        <v>371</v>
      </c>
      <c r="AK1565" s="1"/>
      <c r="AL1565" s="1" t="s">
        <v>118</v>
      </c>
      <c r="AM1565" s="1" t="s">
        <v>65</v>
      </c>
      <c r="AN1565" s="1" t="s">
        <v>6531</v>
      </c>
      <c r="AO1565" s="2">
        <v>43927.0</v>
      </c>
      <c r="AP1565" s="2">
        <v>43987.3482060185</v>
      </c>
      <c r="AQ1565" s="1" t="s">
        <v>80</v>
      </c>
      <c r="AR1565" s="1" t="s">
        <v>656</v>
      </c>
      <c r="AS1565" s="1" t="s">
        <v>6532</v>
      </c>
      <c r="AT1565" s="2">
        <v>44269.931099537</v>
      </c>
    </row>
    <row r="1566" ht="13.5" customHeight="1">
      <c r="A1566" s="1">
        <v>2038774.0</v>
      </c>
      <c r="B1566" s="1" t="s">
        <v>67</v>
      </c>
      <c r="C1566" s="1" t="s">
        <v>68</v>
      </c>
      <c r="D1566" s="1" t="s">
        <v>46</v>
      </c>
      <c r="E1566" s="1" t="s">
        <v>6533</v>
      </c>
      <c r="F1566" s="1"/>
      <c r="G1566" s="1" t="s">
        <v>70</v>
      </c>
      <c r="H1566" s="1" t="s">
        <v>50</v>
      </c>
      <c r="I1566" s="1">
        <v>1000.0</v>
      </c>
      <c r="J1566" s="1"/>
      <c r="K1566" s="1"/>
      <c r="L1566" s="1" t="s">
        <v>587</v>
      </c>
      <c r="M1566" s="1" t="s">
        <v>6534</v>
      </c>
      <c r="N1566" s="1" t="s">
        <v>72</v>
      </c>
      <c r="O1566" s="1" t="s">
        <v>73</v>
      </c>
      <c r="P1566" s="2">
        <v>43774.5</v>
      </c>
      <c r="Q1566" s="1" t="s">
        <v>74</v>
      </c>
      <c r="R1566" s="3">
        <v>43789.0</v>
      </c>
      <c r="S1566" s="1"/>
      <c r="T1566" s="1">
        <v>3170529.0</v>
      </c>
      <c r="U1566" s="1" t="s">
        <v>6535</v>
      </c>
      <c r="V1566" s="1" t="s">
        <v>126</v>
      </c>
      <c r="W1566" s="1" t="s">
        <v>127</v>
      </c>
      <c r="X1566" s="1"/>
      <c r="Y1566" s="1" t="str">
        <f>"02566000413201932"</f>
        <v>02566000413201932</v>
      </c>
      <c r="Z1566" s="1" t="s">
        <v>76</v>
      </c>
      <c r="AA1566" s="1" t="s">
        <v>6536</v>
      </c>
      <c r="AB1566" s="1" t="str">
        <f t="shared" ref="AB1566:AB1567" si="94">"***830526**"</f>
        <v>***830526**</v>
      </c>
      <c r="AC1566" s="1"/>
      <c r="AD1566" s="1"/>
      <c r="AE1566" s="1"/>
      <c r="AF1566" s="1">
        <v>-45.828888</v>
      </c>
      <c r="AG1566" s="1">
        <v>-16.101667</v>
      </c>
      <c r="AH1566" s="1" t="s">
        <v>6537</v>
      </c>
      <c r="AI1566" s="1"/>
      <c r="AJ1566" s="1" t="s">
        <v>587</v>
      </c>
      <c r="AK1566" s="1"/>
      <c r="AL1566" s="1" t="s">
        <v>79</v>
      </c>
      <c r="AM1566" s="1" t="s">
        <v>65</v>
      </c>
      <c r="AN1566" s="1" t="s">
        <v>592</v>
      </c>
      <c r="AO1566" s="2">
        <v>44046.0</v>
      </c>
      <c r="AP1566" s="2">
        <v>44046.6051851852</v>
      </c>
      <c r="AQ1566" s="1" t="s">
        <v>80</v>
      </c>
      <c r="AR1566" s="1" t="s">
        <v>1072</v>
      </c>
      <c r="AS1566" s="1"/>
      <c r="AT1566" s="2">
        <v>44269.931099537</v>
      </c>
    </row>
    <row r="1567" ht="13.5" customHeight="1">
      <c r="A1567" s="1">
        <v>2038775.0</v>
      </c>
      <c r="B1567" s="1" t="s">
        <v>67</v>
      </c>
      <c r="C1567" s="1" t="s">
        <v>68</v>
      </c>
      <c r="D1567" s="1" t="s">
        <v>46</v>
      </c>
      <c r="E1567" s="1" t="s">
        <v>6538</v>
      </c>
      <c r="F1567" s="1"/>
      <c r="G1567" s="1" t="s">
        <v>70</v>
      </c>
      <c r="H1567" s="1" t="s">
        <v>50</v>
      </c>
      <c r="I1567" s="1">
        <v>1000.0</v>
      </c>
      <c r="J1567" s="1"/>
      <c r="K1567" s="1"/>
      <c r="L1567" s="1" t="s">
        <v>587</v>
      </c>
      <c r="M1567" s="1" t="s">
        <v>6539</v>
      </c>
      <c r="N1567" s="1" t="s">
        <v>72</v>
      </c>
      <c r="O1567" s="1" t="s">
        <v>73</v>
      </c>
      <c r="P1567" s="2">
        <v>43774.5</v>
      </c>
      <c r="Q1567" s="1" t="s">
        <v>74</v>
      </c>
      <c r="R1567" s="3">
        <v>43789.0</v>
      </c>
      <c r="S1567" s="1"/>
      <c r="T1567" s="1">
        <v>3170529.0</v>
      </c>
      <c r="U1567" s="1" t="s">
        <v>6535</v>
      </c>
      <c r="V1567" s="1" t="s">
        <v>126</v>
      </c>
      <c r="W1567" s="1" t="s">
        <v>127</v>
      </c>
      <c r="X1567" s="1"/>
      <c r="Y1567" s="1" t="str">
        <f>"02566000414201987"</f>
        <v>02566000414201987</v>
      </c>
      <c r="Z1567" s="1" t="s">
        <v>76</v>
      </c>
      <c r="AA1567" s="1" t="s">
        <v>6536</v>
      </c>
      <c r="AB1567" s="1" t="str">
        <f t="shared" si="94"/>
        <v>***830526**</v>
      </c>
      <c r="AC1567" s="1"/>
      <c r="AD1567" s="1"/>
      <c r="AE1567" s="1"/>
      <c r="AF1567" s="1">
        <v>-45.828888</v>
      </c>
      <c r="AG1567" s="1">
        <v>-16.101667</v>
      </c>
      <c r="AH1567" s="1" t="s">
        <v>6537</v>
      </c>
      <c r="AI1567" s="1"/>
      <c r="AJ1567" s="1" t="s">
        <v>587</v>
      </c>
      <c r="AK1567" s="1"/>
      <c r="AL1567" s="1" t="s">
        <v>79</v>
      </c>
      <c r="AM1567" s="1" t="s">
        <v>65</v>
      </c>
      <c r="AN1567" s="1" t="s">
        <v>592</v>
      </c>
      <c r="AO1567" s="2">
        <v>44046.0</v>
      </c>
      <c r="AP1567" s="2">
        <v>44046.6066898148</v>
      </c>
      <c r="AQ1567" s="1" t="s">
        <v>80</v>
      </c>
      <c r="AR1567" s="1" t="s">
        <v>1072</v>
      </c>
      <c r="AS1567" s="1"/>
      <c r="AT1567" s="2">
        <v>44269.931099537</v>
      </c>
    </row>
    <row r="1568" ht="13.5" customHeight="1">
      <c r="A1568" s="1"/>
      <c r="B1568" s="1" t="s">
        <v>46</v>
      </c>
      <c r="C1568" s="1" t="s">
        <v>47</v>
      </c>
      <c r="D1568" s="1"/>
      <c r="E1568" s="1" t="s">
        <v>6540</v>
      </c>
      <c r="F1568" s="1"/>
      <c r="G1568" s="1" t="s">
        <v>49</v>
      </c>
      <c r="H1568" s="1" t="s">
        <v>93</v>
      </c>
      <c r="I1568" s="1">
        <v>136560.0</v>
      </c>
      <c r="J1568" s="1"/>
      <c r="K1568" s="1" t="s">
        <v>140</v>
      </c>
      <c r="L1568" s="1"/>
      <c r="M1568" s="1" t="s">
        <v>6541</v>
      </c>
      <c r="N1568" s="1" t="s">
        <v>142</v>
      </c>
      <c r="O1568" s="1" t="s">
        <v>143</v>
      </c>
      <c r="P1568" s="2">
        <v>43774.4743171296</v>
      </c>
      <c r="Q1568" s="1" t="s">
        <v>373</v>
      </c>
      <c r="R1568" s="1"/>
      <c r="S1568" s="1"/>
      <c r="T1568" s="1">
        <v>5220009.0</v>
      </c>
      <c r="U1568" s="1" t="s">
        <v>5336</v>
      </c>
      <c r="V1568" s="1" t="s">
        <v>375</v>
      </c>
      <c r="W1568" s="1" t="s">
        <v>127</v>
      </c>
      <c r="X1568" s="1"/>
      <c r="Y1568" s="1"/>
      <c r="Z1568" s="1" t="s">
        <v>147</v>
      </c>
      <c r="AA1568" s="1" t="s">
        <v>6542</v>
      </c>
      <c r="AB1568" s="1" t="str">
        <f>"***344191**"</f>
        <v>***344191**</v>
      </c>
      <c r="AC1568" s="1"/>
      <c r="AD1568" s="1" t="s">
        <v>116</v>
      </c>
      <c r="AE1568" s="1"/>
      <c r="AF1568" s="1">
        <v>-47.358219</v>
      </c>
      <c r="AG1568" s="1">
        <v>-14.244223</v>
      </c>
      <c r="AH1568" s="1" t="s">
        <v>6530</v>
      </c>
      <c r="AI1568" s="1"/>
      <c r="AJ1568" s="1" t="s">
        <v>371</v>
      </c>
      <c r="AK1568" s="1"/>
      <c r="AL1568" s="1"/>
      <c r="AM1568" s="1" t="s">
        <v>65</v>
      </c>
      <c r="AN1568" s="1" t="s">
        <v>6531</v>
      </c>
      <c r="AO1568" s="1"/>
      <c r="AP1568" s="2">
        <v>44118.5540393519</v>
      </c>
      <c r="AQ1568" s="1"/>
      <c r="AR1568" s="1" t="s">
        <v>2055</v>
      </c>
      <c r="AS1568" s="1"/>
      <c r="AT1568" s="2">
        <v>44269.931099537</v>
      </c>
    </row>
    <row r="1569" ht="13.5" customHeight="1">
      <c r="A1569" s="1"/>
      <c r="B1569" s="1" t="s">
        <v>46</v>
      </c>
      <c r="C1569" s="1" t="s">
        <v>47</v>
      </c>
      <c r="D1569" s="1"/>
      <c r="E1569" s="1" t="s">
        <v>6543</v>
      </c>
      <c r="F1569" s="1"/>
      <c r="G1569" s="1" t="s">
        <v>5034</v>
      </c>
      <c r="H1569" s="1" t="s">
        <v>50</v>
      </c>
      <c r="I1569" s="1">
        <v>250.0</v>
      </c>
      <c r="J1569" s="1"/>
      <c r="K1569" s="1" t="s">
        <v>51</v>
      </c>
      <c r="L1569" s="1"/>
      <c r="M1569" s="1" t="s">
        <v>6544</v>
      </c>
      <c r="N1569" s="1" t="s">
        <v>977</v>
      </c>
      <c r="O1569" s="1" t="s">
        <v>978</v>
      </c>
      <c r="P1569" s="2">
        <v>43774.469375</v>
      </c>
      <c r="Q1569" s="1" t="s">
        <v>74</v>
      </c>
      <c r="R1569" s="3">
        <v>43790.0</v>
      </c>
      <c r="S1569" s="1"/>
      <c r="T1569" s="1">
        <v>3509502.0</v>
      </c>
      <c r="U1569" s="1" t="s">
        <v>97</v>
      </c>
      <c r="V1569" s="1" t="s">
        <v>58</v>
      </c>
      <c r="W1569" s="1" t="s">
        <v>59</v>
      </c>
      <c r="X1569" s="1"/>
      <c r="Y1569" s="1"/>
      <c r="Z1569" s="1" t="s">
        <v>980</v>
      </c>
      <c r="AA1569" s="1" t="s">
        <v>6545</v>
      </c>
      <c r="AB1569" s="1" t="str">
        <f>"01449930000351"</f>
        <v>01449930000351</v>
      </c>
      <c r="AC1569" s="1"/>
      <c r="AD1569" s="1" t="s">
        <v>149</v>
      </c>
      <c r="AE1569" s="1"/>
      <c r="AF1569" s="1">
        <v>-47.144169</v>
      </c>
      <c r="AG1569" s="1">
        <v>-23.007778</v>
      </c>
      <c r="AH1569" s="1" t="s">
        <v>3543</v>
      </c>
      <c r="AI1569" s="1"/>
      <c r="AJ1569" s="1" t="s">
        <v>64</v>
      </c>
      <c r="AK1569" s="1"/>
      <c r="AL1569" s="1"/>
      <c r="AM1569" s="1" t="s">
        <v>65</v>
      </c>
      <c r="AN1569" s="1" t="s">
        <v>102</v>
      </c>
      <c r="AO1569" s="1"/>
      <c r="AP1569" s="2">
        <v>44183.7966087963</v>
      </c>
      <c r="AQ1569" s="1"/>
      <c r="AR1569" s="1" t="s">
        <v>6546</v>
      </c>
      <c r="AS1569" s="1"/>
      <c r="AT1569" s="2">
        <v>44269.931099537</v>
      </c>
    </row>
    <row r="1570" ht="13.5" customHeight="1">
      <c r="A1570" s="1">
        <v>2035880.0</v>
      </c>
      <c r="B1570" s="1" t="s">
        <v>67</v>
      </c>
      <c r="C1570" s="1" t="s">
        <v>68</v>
      </c>
      <c r="D1570" s="1" t="s">
        <v>46</v>
      </c>
      <c r="E1570" s="1" t="s">
        <v>6547</v>
      </c>
      <c r="F1570" s="1"/>
      <c r="G1570" s="1" t="s">
        <v>70</v>
      </c>
      <c r="H1570" s="1" t="s">
        <v>50</v>
      </c>
      <c r="I1570" s="1">
        <v>201500.0</v>
      </c>
      <c r="J1570" s="1"/>
      <c r="K1570" s="1"/>
      <c r="L1570" s="1" t="s">
        <v>172</v>
      </c>
      <c r="M1570" s="1" t="s">
        <v>6548</v>
      </c>
      <c r="N1570" s="1" t="s">
        <v>72</v>
      </c>
      <c r="O1570" s="1" t="s">
        <v>73</v>
      </c>
      <c r="P1570" s="2">
        <v>43774.4583333333</v>
      </c>
      <c r="Q1570" s="1" t="s">
        <v>74</v>
      </c>
      <c r="R1570" s="3">
        <v>43774.0</v>
      </c>
      <c r="S1570" s="1"/>
      <c r="T1570" s="1">
        <v>5300108.0</v>
      </c>
      <c r="U1570" s="1" t="s">
        <v>1541</v>
      </c>
      <c r="V1570" s="1" t="s">
        <v>1542</v>
      </c>
      <c r="W1570" s="1" t="s">
        <v>177</v>
      </c>
      <c r="X1570" s="1"/>
      <c r="Y1570" s="1" t="str">
        <f>"02001009134202063"</f>
        <v>02001009134202063</v>
      </c>
      <c r="Z1570" s="1" t="s">
        <v>76</v>
      </c>
      <c r="AA1570" s="1" t="s">
        <v>6549</v>
      </c>
      <c r="AB1570" s="1" t="str">
        <f>"***204479**"</f>
        <v>***204479**</v>
      </c>
      <c r="AC1570" s="1"/>
      <c r="AD1570" s="1"/>
      <c r="AE1570" s="1"/>
      <c r="AF1570" s="1">
        <v>-67.274719</v>
      </c>
      <c r="AG1570" s="1">
        <v>-8.551389</v>
      </c>
      <c r="AH1570" s="1" t="s">
        <v>6130</v>
      </c>
      <c r="AI1570" s="1"/>
      <c r="AJ1570" s="1" t="s">
        <v>172</v>
      </c>
      <c r="AK1570" s="1"/>
      <c r="AL1570" s="1" t="s">
        <v>79</v>
      </c>
      <c r="AM1570" s="1" t="s">
        <v>65</v>
      </c>
      <c r="AN1570" s="1" t="s">
        <v>2164</v>
      </c>
      <c r="AO1570" s="2">
        <v>43921.0</v>
      </c>
      <c r="AP1570" s="2">
        <v>43921.6951157407</v>
      </c>
      <c r="AQ1570" s="1" t="s">
        <v>80</v>
      </c>
      <c r="AR1570" s="1" t="s">
        <v>81</v>
      </c>
      <c r="AS1570" s="1"/>
      <c r="AT1570" s="2">
        <v>44269.931099537</v>
      </c>
    </row>
    <row r="1571" ht="13.5" customHeight="1">
      <c r="A1571" s="1">
        <v>2038773.0</v>
      </c>
      <c r="B1571" s="1" t="s">
        <v>67</v>
      </c>
      <c r="C1571" s="1" t="s">
        <v>68</v>
      </c>
      <c r="D1571" s="1" t="s">
        <v>46</v>
      </c>
      <c r="E1571" s="1" t="s">
        <v>6550</v>
      </c>
      <c r="F1571" s="1"/>
      <c r="G1571" s="1" t="s">
        <v>70</v>
      </c>
      <c r="H1571" s="1" t="s">
        <v>50</v>
      </c>
      <c r="I1571" s="1">
        <v>1000.0</v>
      </c>
      <c r="J1571" s="1"/>
      <c r="K1571" s="1"/>
      <c r="L1571" s="1" t="s">
        <v>587</v>
      </c>
      <c r="M1571" s="1" t="s">
        <v>6551</v>
      </c>
      <c r="N1571" s="1" t="s">
        <v>72</v>
      </c>
      <c r="O1571" s="1" t="s">
        <v>73</v>
      </c>
      <c r="P1571" s="2">
        <v>43774.4583333333</v>
      </c>
      <c r="Q1571" s="1" t="s">
        <v>74</v>
      </c>
      <c r="R1571" s="1"/>
      <c r="S1571" s="1"/>
      <c r="T1571" s="1">
        <v>3170529.0</v>
      </c>
      <c r="U1571" s="1" t="s">
        <v>6535</v>
      </c>
      <c r="V1571" s="1" t="s">
        <v>126</v>
      </c>
      <c r="W1571" s="1" t="s">
        <v>127</v>
      </c>
      <c r="X1571" s="1"/>
      <c r="Y1571" s="1" t="str">
        <f>"02566000415201921"</f>
        <v>02566000415201921</v>
      </c>
      <c r="Z1571" s="1" t="s">
        <v>76</v>
      </c>
      <c r="AA1571" s="1" t="s">
        <v>6536</v>
      </c>
      <c r="AB1571" s="1" t="str">
        <f>"***830526**"</f>
        <v>***830526**</v>
      </c>
      <c r="AC1571" s="1"/>
      <c r="AD1571" s="1"/>
      <c r="AE1571" s="1"/>
      <c r="AF1571" s="1">
        <v>-45.829166</v>
      </c>
      <c r="AG1571" s="1">
        <v>-16.101667</v>
      </c>
      <c r="AH1571" s="1" t="s">
        <v>6537</v>
      </c>
      <c r="AI1571" s="1"/>
      <c r="AJ1571" s="1" t="s">
        <v>587</v>
      </c>
      <c r="AK1571" s="1"/>
      <c r="AL1571" s="1" t="s">
        <v>79</v>
      </c>
      <c r="AM1571" s="1" t="s">
        <v>65</v>
      </c>
      <c r="AN1571" s="1" t="s">
        <v>592</v>
      </c>
      <c r="AO1571" s="2">
        <v>44046.0</v>
      </c>
      <c r="AP1571" s="2">
        <v>44046.6041203704</v>
      </c>
      <c r="AQ1571" s="1" t="s">
        <v>80</v>
      </c>
      <c r="AR1571" s="1" t="s">
        <v>1072</v>
      </c>
      <c r="AS1571" s="1"/>
      <c r="AT1571" s="2">
        <v>44269.931099537</v>
      </c>
    </row>
    <row r="1572" ht="13.5" customHeight="1">
      <c r="A1572" s="1">
        <v>2038795.0</v>
      </c>
      <c r="B1572" s="1" t="s">
        <v>67</v>
      </c>
      <c r="C1572" s="1" t="s">
        <v>68</v>
      </c>
      <c r="D1572" s="1" t="s">
        <v>46</v>
      </c>
      <c r="E1572" s="1" t="s">
        <v>6552</v>
      </c>
      <c r="F1572" s="1"/>
      <c r="G1572" s="1" t="s">
        <v>70</v>
      </c>
      <c r="H1572" s="1" t="s">
        <v>50</v>
      </c>
      <c r="I1572" s="1">
        <v>500.0</v>
      </c>
      <c r="J1572" s="1"/>
      <c r="K1572" s="1"/>
      <c r="L1572" s="1" t="s">
        <v>587</v>
      </c>
      <c r="M1572" s="1" t="s">
        <v>6553</v>
      </c>
      <c r="N1572" s="1" t="s">
        <v>95</v>
      </c>
      <c r="O1572" s="1" t="s">
        <v>96</v>
      </c>
      <c r="P1572" s="2">
        <v>43774.4583333333</v>
      </c>
      <c r="Q1572" s="1" t="s">
        <v>74</v>
      </c>
      <c r="R1572" s="3">
        <v>43773.0</v>
      </c>
      <c r="S1572" s="1"/>
      <c r="T1572" s="1">
        <v>3151206.0</v>
      </c>
      <c r="U1572" s="1" t="s">
        <v>6554</v>
      </c>
      <c r="V1572" s="1" t="s">
        <v>126</v>
      </c>
      <c r="W1572" s="1" t="s">
        <v>127</v>
      </c>
      <c r="X1572" s="1"/>
      <c r="Y1572" s="1" t="str">
        <f>"02566000399201977"</f>
        <v>02566000399201977</v>
      </c>
      <c r="Z1572" s="1" t="s">
        <v>98</v>
      </c>
      <c r="AA1572" s="1" t="s">
        <v>6555</v>
      </c>
      <c r="AB1572" s="1" t="str">
        <f>"***951896**"</f>
        <v>***951896**</v>
      </c>
      <c r="AC1572" s="1"/>
      <c r="AD1572" s="1"/>
      <c r="AE1572" s="1"/>
      <c r="AF1572" s="1">
        <v>-44.940834</v>
      </c>
      <c r="AG1572" s="1">
        <v>-17.339724</v>
      </c>
      <c r="AH1572" s="1" t="s">
        <v>6556</v>
      </c>
      <c r="AI1572" s="1"/>
      <c r="AJ1572" s="1" t="s">
        <v>587</v>
      </c>
      <c r="AK1572" s="1"/>
      <c r="AL1572" s="1" t="s">
        <v>79</v>
      </c>
      <c r="AM1572" s="1" t="s">
        <v>65</v>
      </c>
      <c r="AN1572" s="1" t="s">
        <v>592</v>
      </c>
      <c r="AO1572" s="2">
        <v>44046.0</v>
      </c>
      <c r="AP1572" s="2">
        <v>44046.6701736111</v>
      </c>
      <c r="AQ1572" s="1" t="s">
        <v>80</v>
      </c>
      <c r="AR1572" s="1" t="s">
        <v>6557</v>
      </c>
      <c r="AS1572" s="1"/>
      <c r="AT1572" s="2">
        <v>44269.931099537</v>
      </c>
    </row>
    <row r="1573" ht="13.5" customHeight="1">
      <c r="A1573" s="1">
        <v>2035042.0</v>
      </c>
      <c r="B1573" s="1" t="s">
        <v>67</v>
      </c>
      <c r="C1573" s="1" t="s">
        <v>68</v>
      </c>
      <c r="D1573" s="1" t="s">
        <v>46</v>
      </c>
      <c r="E1573" s="1" t="s">
        <v>6558</v>
      </c>
      <c r="F1573" s="1"/>
      <c r="G1573" s="1" t="s">
        <v>70</v>
      </c>
      <c r="H1573" s="1" t="s">
        <v>93</v>
      </c>
      <c r="I1573" s="1">
        <v>2160000.0</v>
      </c>
      <c r="J1573" s="1"/>
      <c r="K1573" s="1"/>
      <c r="L1573" s="1" t="s">
        <v>765</v>
      </c>
      <c r="M1573" s="1" t="s">
        <v>6559</v>
      </c>
      <c r="N1573" s="1" t="s">
        <v>142</v>
      </c>
      <c r="O1573" s="1" t="s">
        <v>143</v>
      </c>
      <c r="P1573" s="2">
        <v>43774.4166666667</v>
      </c>
      <c r="Q1573" s="1" t="s">
        <v>74</v>
      </c>
      <c r="R1573" s="3">
        <v>43809.0</v>
      </c>
      <c r="S1573" s="1"/>
      <c r="T1573" s="1">
        <v>1506005.0</v>
      </c>
      <c r="U1573" s="1" t="s">
        <v>1143</v>
      </c>
      <c r="V1573" s="1" t="s">
        <v>193</v>
      </c>
      <c r="W1573" s="1" t="s">
        <v>177</v>
      </c>
      <c r="X1573" s="1"/>
      <c r="Y1573" s="1" t="str">
        <f>"02048001993201934"</f>
        <v>02048001993201934</v>
      </c>
      <c r="Z1573" s="1" t="s">
        <v>147</v>
      </c>
      <c r="AA1573" s="1" t="s">
        <v>6560</v>
      </c>
      <c r="AB1573" s="1" t="str">
        <f>"***757602**"</f>
        <v>***757602**</v>
      </c>
      <c r="AC1573" s="1"/>
      <c r="AD1573" s="1"/>
      <c r="AE1573" s="1"/>
      <c r="AF1573" s="1">
        <v>-53.970554</v>
      </c>
      <c r="AG1573" s="1">
        <v>-2.619167</v>
      </c>
      <c r="AH1573" s="1" t="s">
        <v>6561</v>
      </c>
      <c r="AI1573" s="1"/>
      <c r="AJ1573" s="1" t="s">
        <v>765</v>
      </c>
      <c r="AK1573" s="1"/>
      <c r="AL1573" s="1" t="s">
        <v>79</v>
      </c>
      <c r="AM1573" s="1" t="s">
        <v>65</v>
      </c>
      <c r="AN1573" s="1" t="s">
        <v>1146</v>
      </c>
      <c r="AO1573" s="2">
        <v>43894.0</v>
      </c>
      <c r="AP1573" s="2">
        <v>43894.3835532407</v>
      </c>
      <c r="AQ1573" s="1" t="s">
        <v>80</v>
      </c>
      <c r="AR1573" s="1" t="s">
        <v>650</v>
      </c>
      <c r="AS1573" s="1"/>
      <c r="AT1573" s="2">
        <v>44269.931099537</v>
      </c>
    </row>
    <row r="1574" ht="13.5" customHeight="1">
      <c r="A1574" s="1">
        <v>2035043.0</v>
      </c>
      <c r="B1574" s="1" t="s">
        <v>67</v>
      </c>
      <c r="C1574" s="1" t="s">
        <v>68</v>
      </c>
      <c r="D1574" s="1" t="s">
        <v>46</v>
      </c>
      <c r="E1574" s="1" t="s">
        <v>6562</v>
      </c>
      <c r="F1574" s="1"/>
      <c r="G1574" s="1" t="s">
        <v>70</v>
      </c>
      <c r="H1574" s="1" t="s">
        <v>93</v>
      </c>
      <c r="I1574" s="1">
        <v>325000.0</v>
      </c>
      <c r="J1574" s="1"/>
      <c r="K1574" s="1"/>
      <c r="L1574" s="1" t="s">
        <v>765</v>
      </c>
      <c r="M1574" s="1" t="s">
        <v>6563</v>
      </c>
      <c r="N1574" s="1" t="s">
        <v>142</v>
      </c>
      <c r="O1574" s="1" t="s">
        <v>143</v>
      </c>
      <c r="P1574" s="2">
        <v>43774.4166666667</v>
      </c>
      <c r="Q1574" s="1" t="s">
        <v>74</v>
      </c>
      <c r="R1574" s="3">
        <v>43785.0</v>
      </c>
      <c r="S1574" s="1"/>
      <c r="T1574" s="1">
        <v>1506005.0</v>
      </c>
      <c r="U1574" s="1" t="s">
        <v>1143</v>
      </c>
      <c r="V1574" s="1" t="s">
        <v>193</v>
      </c>
      <c r="W1574" s="1" t="s">
        <v>177</v>
      </c>
      <c r="X1574" s="1"/>
      <c r="Y1574" s="1" t="str">
        <f>"02048001995201923"</f>
        <v>02048001995201923</v>
      </c>
      <c r="Z1574" s="1" t="s">
        <v>147</v>
      </c>
      <c r="AA1574" s="1" t="s">
        <v>6564</v>
      </c>
      <c r="AB1574" s="1" t="str">
        <f>"***090562**"</f>
        <v>***090562**</v>
      </c>
      <c r="AC1574" s="1"/>
      <c r="AD1574" s="1"/>
      <c r="AE1574" s="1"/>
      <c r="AF1574" s="1">
        <v>-53.961391</v>
      </c>
      <c r="AG1574" s="1">
        <v>-2.604722</v>
      </c>
      <c r="AH1574" s="1" t="s">
        <v>6565</v>
      </c>
      <c r="AI1574" s="1"/>
      <c r="AJ1574" s="1" t="s">
        <v>765</v>
      </c>
      <c r="AK1574" s="1"/>
      <c r="AL1574" s="1" t="s">
        <v>79</v>
      </c>
      <c r="AM1574" s="1" t="s">
        <v>65</v>
      </c>
      <c r="AN1574" s="1" t="s">
        <v>1146</v>
      </c>
      <c r="AO1574" s="2">
        <v>43894.0</v>
      </c>
      <c r="AP1574" s="2">
        <v>43894.3836805556</v>
      </c>
      <c r="AQ1574" s="1" t="s">
        <v>80</v>
      </c>
      <c r="AR1574" s="1" t="s">
        <v>650</v>
      </c>
      <c r="AS1574" s="1"/>
      <c r="AT1574" s="2">
        <v>44269.931099537</v>
      </c>
    </row>
    <row r="1575" ht="13.5" customHeight="1">
      <c r="A1575" s="1">
        <v>2035882.0</v>
      </c>
      <c r="B1575" s="1" t="s">
        <v>67</v>
      </c>
      <c r="C1575" s="1" t="s">
        <v>68</v>
      </c>
      <c r="D1575" s="1" t="s">
        <v>46</v>
      </c>
      <c r="E1575" s="1" t="s">
        <v>6566</v>
      </c>
      <c r="F1575" s="1"/>
      <c r="G1575" s="1" t="s">
        <v>70</v>
      </c>
      <c r="H1575" s="1" t="s">
        <v>93</v>
      </c>
      <c r="I1575" s="1">
        <v>336080.0</v>
      </c>
      <c r="J1575" s="1"/>
      <c r="K1575" s="1"/>
      <c r="L1575" s="1" t="s">
        <v>172</v>
      </c>
      <c r="M1575" s="1" t="s">
        <v>6567</v>
      </c>
      <c r="N1575" s="1" t="s">
        <v>142</v>
      </c>
      <c r="O1575" s="1" t="s">
        <v>143</v>
      </c>
      <c r="P1575" s="2">
        <v>43774.4166666667</v>
      </c>
      <c r="Q1575" s="1" t="s">
        <v>74</v>
      </c>
      <c r="R1575" s="3">
        <v>43774.0</v>
      </c>
      <c r="S1575" s="1"/>
      <c r="T1575" s="1">
        <v>1300706.0</v>
      </c>
      <c r="U1575" s="1" t="s">
        <v>2161</v>
      </c>
      <c r="V1575" s="1" t="s">
        <v>486</v>
      </c>
      <c r="W1575" s="1" t="s">
        <v>177</v>
      </c>
      <c r="X1575" s="1"/>
      <c r="Y1575" s="1" t="str">
        <f>"02001009139202096"</f>
        <v>02001009139202096</v>
      </c>
      <c r="Z1575" s="1" t="s">
        <v>147</v>
      </c>
      <c r="AA1575" s="1" t="s">
        <v>6549</v>
      </c>
      <c r="AB1575" s="1" t="str">
        <f>"***204479**"</f>
        <v>***204479**</v>
      </c>
      <c r="AC1575" s="1"/>
      <c r="AD1575" s="1"/>
      <c r="AE1575" s="1"/>
      <c r="AF1575" s="1">
        <v>-67.274719</v>
      </c>
      <c r="AG1575" s="1">
        <v>-8.551389</v>
      </c>
      <c r="AH1575" s="1" t="s">
        <v>6568</v>
      </c>
      <c r="AI1575" s="1"/>
      <c r="AJ1575" s="1" t="s">
        <v>172</v>
      </c>
      <c r="AK1575" s="1"/>
      <c r="AL1575" s="1" t="s">
        <v>79</v>
      </c>
      <c r="AM1575" s="1" t="s">
        <v>65</v>
      </c>
      <c r="AN1575" s="1" t="s">
        <v>2164</v>
      </c>
      <c r="AO1575" s="2">
        <v>43921.0</v>
      </c>
      <c r="AP1575" s="2">
        <v>43921.7016898148</v>
      </c>
      <c r="AQ1575" s="1" t="s">
        <v>80</v>
      </c>
      <c r="AR1575" s="1" t="s">
        <v>650</v>
      </c>
      <c r="AS1575" s="1"/>
      <c r="AT1575" s="2">
        <v>44269.931099537</v>
      </c>
    </row>
    <row r="1576" ht="13.5" customHeight="1">
      <c r="A1576" s="1">
        <v>2037524.0</v>
      </c>
      <c r="B1576" s="1" t="s">
        <v>67</v>
      </c>
      <c r="C1576" s="1" t="s">
        <v>68</v>
      </c>
      <c r="D1576" s="1" t="s">
        <v>46</v>
      </c>
      <c r="E1576" s="1" t="s">
        <v>6569</v>
      </c>
      <c r="F1576" s="1"/>
      <c r="G1576" s="1" t="s">
        <v>70</v>
      </c>
      <c r="H1576" s="1" t="s">
        <v>50</v>
      </c>
      <c r="I1576" s="1">
        <v>2000.0</v>
      </c>
      <c r="J1576" s="1"/>
      <c r="K1576" s="1"/>
      <c r="L1576" s="1" t="s">
        <v>64</v>
      </c>
      <c r="M1576" s="1" t="s">
        <v>6570</v>
      </c>
      <c r="N1576" s="1" t="s">
        <v>72</v>
      </c>
      <c r="O1576" s="1" t="s">
        <v>73</v>
      </c>
      <c r="P1576" s="2">
        <v>43774.4166666667</v>
      </c>
      <c r="Q1576" s="1" t="s">
        <v>74</v>
      </c>
      <c r="R1576" s="3">
        <v>43776.0</v>
      </c>
      <c r="S1576" s="1"/>
      <c r="T1576" s="1">
        <v>3509502.0</v>
      </c>
      <c r="U1576" s="1" t="s">
        <v>97</v>
      </c>
      <c r="V1576" s="1" t="s">
        <v>58</v>
      </c>
      <c r="W1576" s="1" t="s">
        <v>59</v>
      </c>
      <c r="X1576" s="1"/>
      <c r="Y1576" s="1" t="str">
        <f>"02027002658202035"</f>
        <v>02027002658202035</v>
      </c>
      <c r="Z1576" s="1" t="s">
        <v>76</v>
      </c>
      <c r="AA1576" s="1" t="s">
        <v>6571</v>
      </c>
      <c r="AB1576" s="1" t="str">
        <f t="shared" ref="AB1576:AB1577" si="95">"01128902000170"</f>
        <v>01128902000170</v>
      </c>
      <c r="AC1576" s="1"/>
      <c r="AD1576" s="1"/>
      <c r="AE1576" s="1"/>
      <c r="AF1576" s="1">
        <v>-47.144169</v>
      </c>
      <c r="AG1576" s="1">
        <v>-23.007778</v>
      </c>
      <c r="AH1576" s="1" t="s">
        <v>6572</v>
      </c>
      <c r="AI1576" s="1"/>
      <c r="AJ1576" s="1" t="s">
        <v>64</v>
      </c>
      <c r="AK1576" s="1"/>
      <c r="AL1576" s="1" t="s">
        <v>79</v>
      </c>
      <c r="AM1576" s="1" t="s">
        <v>65</v>
      </c>
      <c r="AN1576" s="1" t="s">
        <v>102</v>
      </c>
      <c r="AO1576" s="2">
        <v>44000.0</v>
      </c>
      <c r="AP1576" s="2">
        <v>44000.3520023148</v>
      </c>
      <c r="AQ1576" s="1" t="s">
        <v>80</v>
      </c>
      <c r="AR1576" s="1" t="s">
        <v>1072</v>
      </c>
      <c r="AS1576" s="1"/>
      <c r="AT1576" s="2">
        <v>44269.931099537</v>
      </c>
    </row>
    <row r="1577" ht="13.5" customHeight="1">
      <c r="A1577" s="1">
        <v>2040790.0</v>
      </c>
      <c r="B1577" s="1" t="s">
        <v>67</v>
      </c>
      <c r="C1577" s="1" t="s">
        <v>68</v>
      </c>
      <c r="D1577" s="1" t="s">
        <v>46</v>
      </c>
      <c r="E1577" s="1" t="s">
        <v>6573</v>
      </c>
      <c r="F1577" s="1"/>
      <c r="G1577" s="1" t="s">
        <v>70</v>
      </c>
      <c r="H1577" s="1" t="s">
        <v>50</v>
      </c>
      <c r="I1577" s="1">
        <v>500.0</v>
      </c>
      <c r="J1577" s="1"/>
      <c r="K1577" s="1"/>
      <c r="L1577" s="1" t="s">
        <v>64</v>
      </c>
      <c r="M1577" s="1" t="s">
        <v>6574</v>
      </c>
      <c r="N1577" s="1" t="s">
        <v>283</v>
      </c>
      <c r="O1577" s="1" t="s">
        <v>978</v>
      </c>
      <c r="P1577" s="2">
        <v>43774.4166666667</v>
      </c>
      <c r="Q1577" s="1" t="s">
        <v>74</v>
      </c>
      <c r="R1577" s="3">
        <v>43776.0</v>
      </c>
      <c r="S1577" s="1"/>
      <c r="T1577" s="1">
        <v>3509502.0</v>
      </c>
      <c r="U1577" s="1" t="s">
        <v>97</v>
      </c>
      <c r="V1577" s="1" t="s">
        <v>58</v>
      </c>
      <c r="W1577" s="1" t="s">
        <v>59</v>
      </c>
      <c r="X1577" s="1"/>
      <c r="Y1577" s="1" t="str">
        <f>"02027002659202080"</f>
        <v>02027002659202080</v>
      </c>
      <c r="Z1577" s="1" t="s">
        <v>980</v>
      </c>
      <c r="AA1577" s="1" t="s">
        <v>6571</v>
      </c>
      <c r="AB1577" s="1" t="str">
        <f t="shared" si="95"/>
        <v>01128902000170</v>
      </c>
      <c r="AC1577" s="1"/>
      <c r="AD1577" s="1"/>
      <c r="AE1577" s="1"/>
      <c r="AF1577" s="1">
        <v>-47.144169</v>
      </c>
      <c r="AG1577" s="1">
        <v>-23.007778</v>
      </c>
      <c r="AH1577" s="1" t="s">
        <v>3528</v>
      </c>
      <c r="AI1577" s="1"/>
      <c r="AJ1577" s="1" t="s">
        <v>64</v>
      </c>
      <c r="AK1577" s="1"/>
      <c r="AL1577" s="1" t="s">
        <v>79</v>
      </c>
      <c r="AM1577" s="1" t="s">
        <v>65</v>
      </c>
      <c r="AN1577" s="1" t="s">
        <v>102</v>
      </c>
      <c r="AO1577" s="2">
        <v>44139.0</v>
      </c>
      <c r="AP1577" s="2">
        <v>44139.4626273148</v>
      </c>
      <c r="AQ1577" s="1" t="s">
        <v>80</v>
      </c>
      <c r="AR1577" s="1" t="s">
        <v>6447</v>
      </c>
      <c r="AS1577" s="1"/>
      <c r="AT1577" s="2">
        <v>44269.931099537</v>
      </c>
    </row>
    <row r="1578" ht="13.5" customHeight="1">
      <c r="A1578" s="1"/>
      <c r="B1578" s="1" t="s">
        <v>46</v>
      </c>
      <c r="C1578" s="1" t="s">
        <v>47</v>
      </c>
      <c r="D1578" s="1"/>
      <c r="E1578" s="1" t="s">
        <v>6575</v>
      </c>
      <c r="F1578" s="1"/>
      <c r="G1578" s="1"/>
      <c r="H1578" s="1" t="s">
        <v>93</v>
      </c>
      <c r="I1578" s="1">
        <v>11730.6</v>
      </c>
      <c r="J1578" s="1"/>
      <c r="K1578" s="1"/>
      <c r="L1578" s="1"/>
      <c r="M1578" s="1" t="s">
        <v>6576</v>
      </c>
      <c r="N1578" s="1" t="s">
        <v>142</v>
      </c>
      <c r="O1578" s="1" t="s">
        <v>143</v>
      </c>
      <c r="P1578" s="2">
        <v>43774.3982407407</v>
      </c>
      <c r="Q1578" s="1" t="s">
        <v>373</v>
      </c>
      <c r="R1578" s="1"/>
      <c r="S1578" s="1"/>
      <c r="T1578" s="1">
        <v>2105302.0</v>
      </c>
      <c r="U1578" s="1" t="s">
        <v>539</v>
      </c>
      <c r="V1578" s="1" t="s">
        <v>540</v>
      </c>
      <c r="W1578" s="1" t="s">
        <v>177</v>
      </c>
      <c r="X1578" s="1"/>
      <c r="Y1578" s="1"/>
      <c r="Z1578" s="1" t="s">
        <v>147</v>
      </c>
      <c r="AA1578" s="1" t="s">
        <v>6456</v>
      </c>
      <c r="AB1578" s="1" t="str">
        <f>"***881074**"</f>
        <v>***881074**</v>
      </c>
      <c r="AC1578" s="1"/>
      <c r="AD1578" s="1" t="s">
        <v>62</v>
      </c>
      <c r="AE1578" s="1"/>
      <c r="AF1578" s="1">
        <v>-47.464169</v>
      </c>
      <c r="AG1578" s="1">
        <v>-5.5225</v>
      </c>
      <c r="AH1578" s="1" t="s">
        <v>6577</v>
      </c>
      <c r="AI1578" s="1"/>
      <c r="AJ1578" s="1" t="s">
        <v>6400</v>
      </c>
      <c r="AK1578" s="1"/>
      <c r="AL1578" s="1"/>
      <c r="AM1578" s="1" t="s">
        <v>65</v>
      </c>
      <c r="AN1578" s="1" t="s">
        <v>543</v>
      </c>
      <c r="AO1578" s="1"/>
      <c r="AP1578" s="2">
        <v>43774.9372916667</v>
      </c>
      <c r="AQ1578" s="1"/>
      <c r="AR1578" s="1" t="s">
        <v>280</v>
      </c>
      <c r="AS1578" s="1"/>
      <c r="AT1578" s="2">
        <v>44269.931099537</v>
      </c>
    </row>
    <row r="1579" ht="13.5" customHeight="1">
      <c r="A1579" s="1">
        <v>2040242.0</v>
      </c>
      <c r="B1579" s="1" t="s">
        <v>67</v>
      </c>
      <c r="C1579" s="1" t="s">
        <v>68</v>
      </c>
      <c r="D1579" s="1" t="s">
        <v>46</v>
      </c>
      <c r="E1579" s="1" t="s">
        <v>6578</v>
      </c>
      <c r="F1579" s="1"/>
      <c r="G1579" s="1" t="s">
        <v>70</v>
      </c>
      <c r="H1579" s="1" t="s">
        <v>93</v>
      </c>
      <c r="I1579" s="1">
        <v>3000.0</v>
      </c>
      <c r="J1579" s="1"/>
      <c r="K1579" s="1"/>
      <c r="L1579" s="1" t="s">
        <v>371</v>
      </c>
      <c r="M1579" s="1" t="s">
        <v>6579</v>
      </c>
      <c r="N1579" s="1" t="s">
        <v>72</v>
      </c>
      <c r="O1579" s="1" t="s">
        <v>73</v>
      </c>
      <c r="P1579" s="2">
        <v>43774.375</v>
      </c>
      <c r="Q1579" s="1" t="s">
        <v>373</v>
      </c>
      <c r="R1579" s="3">
        <v>43774.0</v>
      </c>
      <c r="S1579" s="1"/>
      <c r="T1579" s="1">
        <v>5201108.0</v>
      </c>
      <c r="U1579" s="1" t="s">
        <v>2686</v>
      </c>
      <c r="V1579" s="1" t="s">
        <v>375</v>
      </c>
      <c r="W1579" s="1" t="s">
        <v>177</v>
      </c>
      <c r="X1579" s="1"/>
      <c r="Y1579" s="1"/>
      <c r="Z1579" s="1" t="s">
        <v>76</v>
      </c>
      <c r="AA1579" s="1" t="s">
        <v>6459</v>
      </c>
      <c r="AB1579" s="1" t="str">
        <f>"22598465000129"</f>
        <v>22598465000129</v>
      </c>
      <c r="AC1579" s="1"/>
      <c r="AD1579" s="1"/>
      <c r="AE1579" s="1"/>
      <c r="AF1579" s="1">
        <v>-48.941669</v>
      </c>
      <c r="AG1579" s="1">
        <v>-16.297222</v>
      </c>
      <c r="AH1579" s="1" t="s">
        <v>6580</v>
      </c>
      <c r="AI1579" s="1"/>
      <c r="AJ1579" s="1" t="s">
        <v>371</v>
      </c>
      <c r="AK1579" s="1"/>
      <c r="AL1579" s="1" t="s">
        <v>79</v>
      </c>
      <c r="AM1579" s="1" t="s">
        <v>65</v>
      </c>
      <c r="AN1579" s="1" t="s">
        <v>6461</v>
      </c>
      <c r="AO1579" s="2">
        <v>44118.0</v>
      </c>
      <c r="AP1579" s="2">
        <v>44118.4233796296</v>
      </c>
      <c r="AQ1579" s="1" t="s">
        <v>80</v>
      </c>
      <c r="AR1579" s="1" t="s">
        <v>1136</v>
      </c>
      <c r="AS1579" s="1"/>
      <c r="AT1579" s="2">
        <v>44269.931099537</v>
      </c>
    </row>
    <row r="1580" ht="13.5" customHeight="1">
      <c r="A1580" s="1">
        <v>2040791.0</v>
      </c>
      <c r="B1580" s="1" t="s">
        <v>67</v>
      </c>
      <c r="C1580" s="1" t="s">
        <v>68</v>
      </c>
      <c r="D1580" s="1" t="s">
        <v>46</v>
      </c>
      <c r="E1580" s="1" t="s">
        <v>6581</v>
      </c>
      <c r="F1580" s="1"/>
      <c r="G1580" s="1" t="s">
        <v>70</v>
      </c>
      <c r="H1580" s="1" t="s">
        <v>50</v>
      </c>
      <c r="I1580" s="1">
        <v>500.0</v>
      </c>
      <c r="J1580" s="1"/>
      <c r="K1580" s="1"/>
      <c r="L1580" s="1" t="s">
        <v>64</v>
      </c>
      <c r="M1580" s="1" t="s">
        <v>6582</v>
      </c>
      <c r="N1580" s="1" t="s">
        <v>283</v>
      </c>
      <c r="O1580" s="1" t="s">
        <v>978</v>
      </c>
      <c r="P1580" s="2">
        <v>43774.375</v>
      </c>
      <c r="Q1580" s="1" t="s">
        <v>74</v>
      </c>
      <c r="R1580" s="3">
        <v>43776.0</v>
      </c>
      <c r="S1580" s="1"/>
      <c r="T1580" s="1">
        <v>3509502.0</v>
      </c>
      <c r="U1580" s="1" t="s">
        <v>97</v>
      </c>
      <c r="V1580" s="1" t="s">
        <v>58</v>
      </c>
      <c r="W1580" s="1" t="s">
        <v>59</v>
      </c>
      <c r="X1580" s="1"/>
      <c r="Y1580" s="1" t="str">
        <f>"02027002656202046"</f>
        <v>02027002656202046</v>
      </c>
      <c r="Z1580" s="1" t="s">
        <v>980</v>
      </c>
      <c r="AA1580" s="1" t="s">
        <v>6571</v>
      </c>
      <c r="AB1580" s="1" t="str">
        <f>"01128902000170"</f>
        <v>01128902000170</v>
      </c>
      <c r="AC1580" s="1"/>
      <c r="AD1580" s="1"/>
      <c r="AE1580" s="1"/>
      <c r="AF1580" s="1">
        <v>-47.144169</v>
      </c>
      <c r="AG1580" s="1">
        <v>-23.007778</v>
      </c>
      <c r="AH1580" s="1" t="s">
        <v>3528</v>
      </c>
      <c r="AI1580" s="1"/>
      <c r="AJ1580" s="1" t="s">
        <v>64</v>
      </c>
      <c r="AK1580" s="1"/>
      <c r="AL1580" s="1" t="s">
        <v>79</v>
      </c>
      <c r="AM1580" s="1" t="s">
        <v>65</v>
      </c>
      <c r="AN1580" s="1" t="s">
        <v>102</v>
      </c>
      <c r="AO1580" s="2">
        <v>44139.0</v>
      </c>
      <c r="AP1580" s="2">
        <v>44139.464537037</v>
      </c>
      <c r="AQ1580" s="1" t="s">
        <v>80</v>
      </c>
      <c r="AR1580" s="1" t="s">
        <v>6447</v>
      </c>
      <c r="AS1580" s="1"/>
      <c r="AT1580" s="2">
        <v>44269.931099537</v>
      </c>
    </row>
    <row r="1581" ht="13.5" customHeight="1">
      <c r="A1581" s="1">
        <v>2040901.0</v>
      </c>
      <c r="B1581" s="1" t="s">
        <v>67</v>
      </c>
      <c r="C1581" s="1" t="s">
        <v>68</v>
      </c>
      <c r="D1581" s="1" t="s">
        <v>46</v>
      </c>
      <c r="E1581" s="1" t="s">
        <v>6583</v>
      </c>
      <c r="F1581" s="1"/>
      <c r="G1581" s="1" t="s">
        <v>70</v>
      </c>
      <c r="H1581" s="1" t="s">
        <v>93</v>
      </c>
      <c r="I1581" s="1">
        <v>16500.0</v>
      </c>
      <c r="J1581" s="1"/>
      <c r="K1581" s="1"/>
      <c r="L1581" s="1" t="s">
        <v>533</v>
      </c>
      <c r="M1581" s="1" t="s">
        <v>6584</v>
      </c>
      <c r="N1581" s="1" t="s">
        <v>142</v>
      </c>
      <c r="O1581" s="1" t="s">
        <v>143</v>
      </c>
      <c r="P1581" s="2">
        <v>43774.375</v>
      </c>
      <c r="Q1581" s="1" t="s">
        <v>373</v>
      </c>
      <c r="R1581" s="3">
        <v>43774.0</v>
      </c>
      <c r="S1581" s="1" t="s">
        <v>6585</v>
      </c>
      <c r="T1581" s="1">
        <v>5004304.0</v>
      </c>
      <c r="U1581" s="1" t="s">
        <v>6586</v>
      </c>
      <c r="V1581" s="1" t="s">
        <v>529</v>
      </c>
      <c r="W1581" s="1" t="s">
        <v>59</v>
      </c>
      <c r="X1581" s="1"/>
      <c r="Y1581" s="1"/>
      <c r="Z1581" s="1" t="s">
        <v>147</v>
      </c>
      <c r="AA1581" s="1" t="s">
        <v>6587</v>
      </c>
      <c r="AB1581" s="1" t="str">
        <f>"***230911**"</f>
        <v>***230911**</v>
      </c>
      <c r="AC1581" s="1"/>
      <c r="AD1581" s="1"/>
      <c r="AE1581" s="1"/>
      <c r="AF1581" s="1">
        <v>-54.599998</v>
      </c>
      <c r="AG1581" s="1">
        <v>-23.582224</v>
      </c>
      <c r="AH1581" s="1" t="s">
        <v>6588</v>
      </c>
      <c r="AI1581" s="1"/>
      <c r="AJ1581" s="1" t="s">
        <v>533</v>
      </c>
      <c r="AK1581" s="1"/>
      <c r="AL1581" s="1" t="s">
        <v>79</v>
      </c>
      <c r="AM1581" s="1" t="s">
        <v>65</v>
      </c>
      <c r="AN1581" s="1" t="s">
        <v>534</v>
      </c>
      <c r="AO1581" s="2">
        <v>44144.0</v>
      </c>
      <c r="AP1581" s="2">
        <v>44144.4831828704</v>
      </c>
      <c r="AQ1581" s="1" t="s">
        <v>80</v>
      </c>
      <c r="AR1581" s="1" t="s">
        <v>5582</v>
      </c>
      <c r="AS1581" s="1" t="s">
        <v>6589</v>
      </c>
      <c r="AT1581" s="2">
        <v>44269.931099537</v>
      </c>
    </row>
    <row r="1582" ht="13.5" customHeight="1">
      <c r="A1582" s="1">
        <v>2035040.0</v>
      </c>
      <c r="B1582" s="1" t="s">
        <v>67</v>
      </c>
      <c r="C1582" s="1" t="s">
        <v>68</v>
      </c>
      <c r="D1582" s="1" t="s">
        <v>46</v>
      </c>
      <c r="E1582" s="1" t="s">
        <v>6590</v>
      </c>
      <c r="F1582" s="1"/>
      <c r="G1582" s="1" t="s">
        <v>70</v>
      </c>
      <c r="H1582" s="1" t="s">
        <v>93</v>
      </c>
      <c r="I1582" s="1">
        <v>320000.0</v>
      </c>
      <c r="J1582" s="1"/>
      <c r="K1582" s="1"/>
      <c r="L1582" s="1" t="s">
        <v>765</v>
      </c>
      <c r="M1582" s="1" t="s">
        <v>6591</v>
      </c>
      <c r="N1582" s="1" t="s">
        <v>142</v>
      </c>
      <c r="O1582" s="1" t="s">
        <v>143</v>
      </c>
      <c r="P1582" s="2">
        <v>43774.3333333333</v>
      </c>
      <c r="Q1582" s="1" t="s">
        <v>74</v>
      </c>
      <c r="R1582" s="3">
        <v>43785.0</v>
      </c>
      <c r="S1582" s="1"/>
      <c r="T1582" s="1">
        <v>1506005.0</v>
      </c>
      <c r="U1582" s="1" t="s">
        <v>1143</v>
      </c>
      <c r="V1582" s="1" t="s">
        <v>193</v>
      </c>
      <c r="W1582" s="1" t="s">
        <v>177</v>
      </c>
      <c r="X1582" s="1"/>
      <c r="Y1582" s="1" t="str">
        <f>"02048001994201989"</f>
        <v>02048001994201989</v>
      </c>
      <c r="Z1582" s="1" t="s">
        <v>147</v>
      </c>
      <c r="AA1582" s="1" t="s">
        <v>6592</v>
      </c>
      <c r="AB1582" s="1" t="str">
        <f>"***653332**"</f>
        <v>***653332**</v>
      </c>
      <c r="AC1582" s="1"/>
      <c r="AD1582" s="1"/>
      <c r="AE1582" s="1"/>
      <c r="AF1582" s="1">
        <v>-53.969723</v>
      </c>
      <c r="AG1582" s="1">
        <v>-2.595833</v>
      </c>
      <c r="AH1582" s="1" t="s">
        <v>6593</v>
      </c>
      <c r="AI1582" s="1"/>
      <c r="AJ1582" s="1" t="s">
        <v>765</v>
      </c>
      <c r="AK1582" s="1"/>
      <c r="AL1582" s="1" t="s">
        <v>79</v>
      </c>
      <c r="AM1582" s="1" t="s">
        <v>65</v>
      </c>
      <c r="AN1582" s="1" t="s">
        <v>1146</v>
      </c>
      <c r="AO1582" s="2">
        <v>43894.0</v>
      </c>
      <c r="AP1582" s="2">
        <v>43894.3833101852</v>
      </c>
      <c r="AQ1582" s="1" t="s">
        <v>80</v>
      </c>
      <c r="AR1582" s="1" t="s">
        <v>650</v>
      </c>
      <c r="AS1582" s="1"/>
      <c r="AT1582" s="2">
        <v>44269.931099537</v>
      </c>
    </row>
    <row r="1583" ht="13.5" customHeight="1">
      <c r="A1583" s="1"/>
      <c r="B1583" s="1" t="s">
        <v>46</v>
      </c>
      <c r="C1583" s="1" t="s">
        <v>47</v>
      </c>
      <c r="D1583" s="1"/>
      <c r="E1583" s="1" t="s">
        <v>6594</v>
      </c>
      <c r="F1583" s="1"/>
      <c r="G1583" s="1" t="s">
        <v>49</v>
      </c>
      <c r="H1583" s="1" t="s">
        <v>50</v>
      </c>
      <c r="I1583" s="1">
        <v>4500.0</v>
      </c>
      <c r="J1583" s="1"/>
      <c r="K1583" s="1" t="s">
        <v>51</v>
      </c>
      <c r="L1583" s="1"/>
      <c r="M1583" s="1" t="s">
        <v>6595</v>
      </c>
      <c r="N1583" s="1" t="s">
        <v>123</v>
      </c>
      <c r="O1583" s="1" t="s">
        <v>73</v>
      </c>
      <c r="P1583" s="2">
        <v>43774.3269791667</v>
      </c>
      <c r="Q1583" s="1" t="s">
        <v>373</v>
      </c>
      <c r="R1583" s="1"/>
      <c r="S1583" s="1"/>
      <c r="T1583" s="1">
        <v>5103403.0</v>
      </c>
      <c r="U1583" s="1" t="s">
        <v>221</v>
      </c>
      <c r="V1583" s="1" t="s">
        <v>164</v>
      </c>
      <c r="W1583" s="1" t="s">
        <v>127</v>
      </c>
      <c r="X1583" s="1"/>
      <c r="Y1583" s="1"/>
      <c r="Z1583" s="1" t="s">
        <v>76</v>
      </c>
      <c r="AA1583" s="1" t="s">
        <v>6596</v>
      </c>
      <c r="AB1583" s="1" t="str">
        <f>"***458631**"</f>
        <v>***458631**</v>
      </c>
      <c r="AC1583" s="1"/>
      <c r="AD1583" s="1" t="s">
        <v>62</v>
      </c>
      <c r="AE1583" s="1"/>
      <c r="AF1583" s="1">
        <v>-56.06</v>
      </c>
      <c r="AG1583" s="1">
        <v>-15.558611</v>
      </c>
      <c r="AH1583" s="1" t="s">
        <v>6597</v>
      </c>
      <c r="AI1583" s="1"/>
      <c r="AJ1583" s="1" t="s">
        <v>167</v>
      </c>
      <c r="AK1583" s="1"/>
      <c r="AL1583" s="1"/>
      <c r="AM1583" s="1" t="s">
        <v>65</v>
      </c>
      <c r="AN1583" s="1" t="s">
        <v>337</v>
      </c>
      <c r="AO1583" s="1"/>
      <c r="AP1583" s="2">
        <v>44246.5132291667</v>
      </c>
      <c r="AQ1583" s="1"/>
      <c r="AR1583" s="1" t="s">
        <v>153</v>
      </c>
      <c r="AS1583" s="1"/>
      <c r="AT1583" s="2">
        <v>44269.931099537</v>
      </c>
    </row>
    <row r="1584" ht="13.5" customHeight="1">
      <c r="A1584" s="1">
        <v>2035598.0</v>
      </c>
      <c r="B1584" s="1" t="s">
        <v>67</v>
      </c>
      <c r="C1584" s="1" t="s">
        <v>68</v>
      </c>
      <c r="D1584" s="1" t="s">
        <v>46</v>
      </c>
      <c r="E1584" s="1" t="s">
        <v>6598</v>
      </c>
      <c r="F1584" s="1"/>
      <c r="G1584" s="1" t="s">
        <v>70</v>
      </c>
      <c r="H1584" s="1" t="s">
        <v>50</v>
      </c>
      <c r="I1584" s="1">
        <v>500.0</v>
      </c>
      <c r="J1584" s="1"/>
      <c r="K1584" s="1"/>
      <c r="L1584" s="1" t="s">
        <v>1040</v>
      </c>
      <c r="M1584" s="1" t="s">
        <v>6599</v>
      </c>
      <c r="N1584" s="1" t="s">
        <v>72</v>
      </c>
      <c r="O1584" s="1" t="s">
        <v>213</v>
      </c>
      <c r="P1584" s="2">
        <v>43774.2916666667</v>
      </c>
      <c r="Q1584" s="1" t="s">
        <v>55</v>
      </c>
      <c r="R1584" s="3">
        <v>43774.0</v>
      </c>
      <c r="S1584" s="1"/>
      <c r="T1584" s="1">
        <v>2615607.0</v>
      </c>
      <c r="U1584" s="1" t="s">
        <v>5422</v>
      </c>
      <c r="V1584" s="1" t="s">
        <v>1037</v>
      </c>
      <c r="W1584" s="1" t="s">
        <v>113</v>
      </c>
      <c r="X1584" s="1"/>
      <c r="Y1584" s="1" t="str">
        <f>"02019000286202010"</f>
        <v>02019000286202010</v>
      </c>
      <c r="Z1584" s="1" t="s">
        <v>215</v>
      </c>
      <c r="AA1584" s="1" t="s">
        <v>6523</v>
      </c>
      <c r="AB1584" s="1" t="str">
        <f>"10382921000110"</f>
        <v>10382921000110</v>
      </c>
      <c r="AC1584" s="1"/>
      <c r="AD1584" s="1"/>
      <c r="AE1584" s="1"/>
      <c r="AF1584" s="1">
        <v>-40.230835</v>
      </c>
      <c r="AG1584" s="1">
        <v>-7.732222</v>
      </c>
      <c r="AH1584" s="1" t="s">
        <v>6600</v>
      </c>
      <c r="AI1584" s="1"/>
      <c r="AJ1584" s="1" t="s">
        <v>1040</v>
      </c>
      <c r="AK1584" s="1"/>
      <c r="AL1584" s="1" t="s">
        <v>79</v>
      </c>
      <c r="AM1584" s="1" t="s">
        <v>65</v>
      </c>
      <c r="AN1584" s="1" t="s">
        <v>1279</v>
      </c>
      <c r="AO1584" s="2">
        <v>43909.0</v>
      </c>
      <c r="AP1584" s="2">
        <v>43909.6166550926</v>
      </c>
      <c r="AQ1584" s="1" t="s">
        <v>80</v>
      </c>
      <c r="AR1584" s="1" t="s">
        <v>909</v>
      </c>
      <c r="AS1584" s="1"/>
      <c r="AT1584" s="2">
        <v>44269.931099537</v>
      </c>
    </row>
    <row r="1585" ht="13.5" customHeight="1">
      <c r="A1585" s="1">
        <v>2034676.0</v>
      </c>
      <c r="B1585" s="1" t="s">
        <v>67</v>
      </c>
      <c r="C1585" s="1" t="s">
        <v>89</v>
      </c>
      <c r="D1585" s="1" t="s">
        <v>67</v>
      </c>
      <c r="E1585" s="1" t="s">
        <v>6601</v>
      </c>
      <c r="F1585" s="1"/>
      <c r="G1585" s="1" t="s">
        <v>70</v>
      </c>
      <c r="H1585" s="1" t="s">
        <v>93</v>
      </c>
      <c r="I1585" s="1">
        <v>4890.3</v>
      </c>
      <c r="J1585" s="1"/>
      <c r="K1585" s="1"/>
      <c r="L1585" s="1" t="s">
        <v>264</v>
      </c>
      <c r="M1585" s="1" t="s">
        <v>6602</v>
      </c>
      <c r="N1585" s="1" t="s">
        <v>142</v>
      </c>
      <c r="O1585" s="1" t="s">
        <v>143</v>
      </c>
      <c r="P1585" s="2">
        <v>43774.25</v>
      </c>
      <c r="Q1585" s="1" t="s">
        <v>74</v>
      </c>
      <c r="R1585" s="3">
        <v>43773.0</v>
      </c>
      <c r="S1585" s="1"/>
      <c r="T1585" s="1">
        <v>4205001.0</v>
      </c>
      <c r="U1585" s="1" t="s">
        <v>856</v>
      </c>
      <c r="V1585" s="1" t="s">
        <v>267</v>
      </c>
      <c r="W1585" s="1" t="s">
        <v>59</v>
      </c>
      <c r="X1585" s="1"/>
      <c r="Y1585" s="1" t="str">
        <f>"02026004149201913"</f>
        <v>02026004149201913</v>
      </c>
      <c r="Z1585" s="1" t="s">
        <v>147</v>
      </c>
      <c r="AA1585" s="1" t="s">
        <v>857</v>
      </c>
      <c r="AB1585" s="1" t="str">
        <f>"***768230**"</f>
        <v>***768230**</v>
      </c>
      <c r="AC1585" s="1"/>
      <c r="AD1585" s="1"/>
      <c r="AE1585" s="1"/>
      <c r="AF1585" s="1">
        <v>-53.640278</v>
      </c>
      <c r="AG1585" s="1">
        <v>-26.258333</v>
      </c>
      <c r="AH1585" s="1" t="s">
        <v>6603</v>
      </c>
      <c r="AI1585" s="1"/>
      <c r="AJ1585" s="1" t="s">
        <v>264</v>
      </c>
      <c r="AK1585" s="1"/>
      <c r="AL1585" s="1" t="s">
        <v>79</v>
      </c>
      <c r="AM1585" s="1" t="s">
        <v>65</v>
      </c>
      <c r="AN1585" s="1" t="s">
        <v>6604</v>
      </c>
      <c r="AO1585" s="2">
        <v>43889.0</v>
      </c>
      <c r="AP1585" s="2">
        <v>44006.8347916667</v>
      </c>
      <c r="AQ1585" s="1" t="s">
        <v>89</v>
      </c>
      <c r="AR1585" s="1" t="s">
        <v>181</v>
      </c>
      <c r="AS1585" s="1" t="s">
        <v>6605</v>
      </c>
      <c r="AT1585" s="2">
        <v>44269.931099537</v>
      </c>
    </row>
    <row r="1586" ht="13.5" customHeight="1">
      <c r="A1586" s="1">
        <v>2039836.0</v>
      </c>
      <c r="B1586" s="1" t="s">
        <v>67</v>
      </c>
      <c r="C1586" s="1" t="s">
        <v>68</v>
      </c>
      <c r="D1586" s="1" t="s">
        <v>46</v>
      </c>
      <c r="E1586" s="1" t="s">
        <v>6606</v>
      </c>
      <c r="F1586" s="1"/>
      <c r="G1586" s="1" t="s">
        <v>70</v>
      </c>
      <c r="H1586" s="1" t="s">
        <v>50</v>
      </c>
      <c r="I1586" s="1">
        <v>500.0</v>
      </c>
      <c r="J1586" s="1"/>
      <c r="K1586" s="1"/>
      <c r="L1586" s="1" t="s">
        <v>1040</v>
      </c>
      <c r="M1586" s="1" t="s">
        <v>6607</v>
      </c>
      <c r="N1586" s="1" t="s">
        <v>72</v>
      </c>
      <c r="O1586" s="1" t="s">
        <v>213</v>
      </c>
      <c r="P1586" s="2">
        <v>43774.0416666667</v>
      </c>
      <c r="Q1586" s="1" t="s">
        <v>55</v>
      </c>
      <c r="R1586" s="1"/>
      <c r="S1586" s="1"/>
      <c r="T1586" s="1">
        <v>2615607.0</v>
      </c>
      <c r="U1586" s="1" t="s">
        <v>5422</v>
      </c>
      <c r="V1586" s="1" t="s">
        <v>1037</v>
      </c>
      <c r="W1586" s="1" t="s">
        <v>113</v>
      </c>
      <c r="X1586" s="1"/>
      <c r="Y1586" s="1"/>
      <c r="Z1586" s="1" t="s">
        <v>215</v>
      </c>
      <c r="AA1586" s="1" t="s">
        <v>6608</v>
      </c>
      <c r="AB1586" s="1" t="str">
        <f>"14930182000104"</f>
        <v>14930182000104</v>
      </c>
      <c r="AC1586" s="1"/>
      <c r="AD1586" s="1"/>
      <c r="AE1586" s="1"/>
      <c r="AF1586" s="1">
        <v>-40.264999</v>
      </c>
      <c r="AG1586" s="1">
        <v>-7.748611</v>
      </c>
      <c r="AH1586" s="1" t="s">
        <v>6609</v>
      </c>
      <c r="AI1586" s="1"/>
      <c r="AJ1586" s="1" t="s">
        <v>1040</v>
      </c>
      <c r="AK1586" s="1"/>
      <c r="AL1586" s="1" t="s">
        <v>79</v>
      </c>
      <c r="AM1586" s="1" t="s">
        <v>65</v>
      </c>
      <c r="AN1586" s="1" t="s">
        <v>1279</v>
      </c>
      <c r="AO1586" s="2">
        <v>44075.0</v>
      </c>
      <c r="AP1586" s="2">
        <v>44075.6393981482</v>
      </c>
      <c r="AQ1586" s="1" t="s">
        <v>80</v>
      </c>
      <c r="AR1586" s="1" t="s">
        <v>909</v>
      </c>
      <c r="AS1586" s="1"/>
      <c r="AT1586" s="2">
        <v>44269.931099537</v>
      </c>
    </row>
    <row r="1587" ht="13.5" customHeight="1">
      <c r="A1587" s="1">
        <v>2037507.0</v>
      </c>
      <c r="B1587" s="1" t="s">
        <v>67</v>
      </c>
      <c r="C1587" s="1" t="s">
        <v>68</v>
      </c>
      <c r="D1587" s="1" t="s">
        <v>46</v>
      </c>
      <c r="E1587" s="1" t="s">
        <v>6610</v>
      </c>
      <c r="F1587" s="1"/>
      <c r="G1587" s="1" t="s">
        <v>70</v>
      </c>
      <c r="H1587" s="1" t="s">
        <v>93</v>
      </c>
      <c r="I1587" s="1">
        <v>1000.0</v>
      </c>
      <c r="J1587" s="1"/>
      <c r="K1587" s="1"/>
      <c r="L1587" s="1" t="s">
        <v>406</v>
      </c>
      <c r="M1587" s="1" t="s">
        <v>6611</v>
      </c>
      <c r="N1587" s="1" t="s">
        <v>95</v>
      </c>
      <c r="O1587" s="1" t="s">
        <v>96</v>
      </c>
      <c r="P1587" s="2">
        <v>43774.0</v>
      </c>
      <c r="Q1587" s="1" t="s">
        <v>373</v>
      </c>
      <c r="R1587" s="3">
        <v>43774.0</v>
      </c>
      <c r="S1587" s="1"/>
      <c r="T1587" s="1">
        <v>3204351.0</v>
      </c>
      <c r="U1587" s="1" t="s">
        <v>5597</v>
      </c>
      <c r="V1587" s="1" t="s">
        <v>403</v>
      </c>
      <c r="W1587" s="1" t="s">
        <v>59</v>
      </c>
      <c r="X1587" s="1"/>
      <c r="Y1587" s="1" t="str">
        <f>"02009002753201913"</f>
        <v>02009002753201913</v>
      </c>
      <c r="Z1587" s="1" t="s">
        <v>98</v>
      </c>
      <c r="AA1587" s="1" t="s">
        <v>6612</v>
      </c>
      <c r="AB1587" s="1" t="str">
        <f>"***877067**"</f>
        <v>***877067**</v>
      </c>
      <c r="AC1587" s="1"/>
      <c r="AD1587" s="1"/>
      <c r="AE1587" s="1"/>
      <c r="AF1587" s="1">
        <v>-40.305</v>
      </c>
      <c r="AG1587" s="1">
        <v>-20.316111</v>
      </c>
      <c r="AH1587" s="1" t="s">
        <v>6613</v>
      </c>
      <c r="AI1587" s="1"/>
      <c r="AJ1587" s="1" t="s">
        <v>406</v>
      </c>
      <c r="AK1587" s="1"/>
      <c r="AL1587" s="1" t="s">
        <v>79</v>
      </c>
      <c r="AM1587" s="1" t="s">
        <v>65</v>
      </c>
      <c r="AN1587" s="1" t="s">
        <v>168</v>
      </c>
      <c r="AO1587" s="2">
        <v>43999.0</v>
      </c>
      <c r="AP1587" s="2">
        <v>43999.4897916667</v>
      </c>
      <c r="AQ1587" s="1" t="s">
        <v>80</v>
      </c>
      <c r="AR1587" s="1" t="s">
        <v>593</v>
      </c>
      <c r="AS1587" s="1"/>
      <c r="AT1587" s="2">
        <v>44269.931099537</v>
      </c>
    </row>
    <row r="1588" ht="13.5" customHeight="1">
      <c r="A1588" s="1"/>
      <c r="B1588" s="1" t="s">
        <v>46</v>
      </c>
      <c r="C1588" s="1" t="s">
        <v>47</v>
      </c>
      <c r="D1588" s="1"/>
      <c r="E1588" s="1" t="s">
        <v>6614</v>
      </c>
      <c r="F1588" s="1"/>
      <c r="G1588" s="1"/>
      <c r="H1588" s="1" t="s">
        <v>50</v>
      </c>
      <c r="I1588" s="1">
        <v>201500.0</v>
      </c>
      <c r="J1588" s="1"/>
      <c r="K1588" s="1" t="s">
        <v>140</v>
      </c>
      <c r="L1588" s="1"/>
      <c r="M1588" s="1" t="s">
        <v>6615</v>
      </c>
      <c r="N1588" s="1" t="s">
        <v>123</v>
      </c>
      <c r="O1588" s="1" t="s">
        <v>73</v>
      </c>
      <c r="P1588" s="2">
        <v>43773.7986342593</v>
      </c>
      <c r="Q1588" s="1" t="s">
        <v>74</v>
      </c>
      <c r="R1588" s="3">
        <v>43776.0</v>
      </c>
      <c r="S1588" s="1"/>
      <c r="T1588" s="1">
        <v>5103700.0</v>
      </c>
      <c r="U1588" s="1" t="s">
        <v>5945</v>
      </c>
      <c r="V1588" s="1" t="s">
        <v>164</v>
      </c>
      <c r="W1588" s="1" t="s">
        <v>177</v>
      </c>
      <c r="X1588" s="1"/>
      <c r="Y1588" s="1"/>
      <c r="Z1588" s="1" t="s">
        <v>76</v>
      </c>
      <c r="AA1588" s="1" t="s">
        <v>6616</v>
      </c>
      <c r="AB1588" s="1" t="str">
        <f>"***559251**"</f>
        <v>***559251**</v>
      </c>
      <c r="AC1588" s="1"/>
      <c r="AD1588" s="1" t="s">
        <v>62</v>
      </c>
      <c r="AE1588" s="1"/>
      <c r="AF1588" s="1">
        <v>-55.040001</v>
      </c>
      <c r="AG1588" s="1">
        <v>-12.504167</v>
      </c>
      <c r="AH1588" s="1" t="s">
        <v>6617</v>
      </c>
      <c r="AI1588" s="1"/>
      <c r="AJ1588" s="1" t="s">
        <v>172</v>
      </c>
      <c r="AK1588" s="1"/>
      <c r="AL1588" s="1"/>
      <c r="AM1588" s="1" t="s">
        <v>65</v>
      </c>
      <c r="AN1588" s="1" t="s">
        <v>2164</v>
      </c>
      <c r="AO1588" s="1"/>
      <c r="AP1588" s="2">
        <v>43773.8025810185</v>
      </c>
      <c r="AQ1588" s="1"/>
      <c r="AR1588" s="1" t="s">
        <v>2549</v>
      </c>
      <c r="AS1588" s="1"/>
      <c r="AT1588" s="2">
        <v>44269.931099537</v>
      </c>
    </row>
    <row r="1589" ht="13.5" customHeight="1">
      <c r="A1589" s="1"/>
      <c r="B1589" s="1" t="s">
        <v>46</v>
      </c>
      <c r="C1589" s="1" t="s">
        <v>47</v>
      </c>
      <c r="D1589" s="1"/>
      <c r="E1589" s="1" t="s">
        <v>6618</v>
      </c>
      <c r="F1589" s="1"/>
      <c r="G1589" s="1" t="s">
        <v>5034</v>
      </c>
      <c r="H1589" s="1" t="s">
        <v>50</v>
      </c>
      <c r="I1589" s="1">
        <v>250.0</v>
      </c>
      <c r="J1589" s="1"/>
      <c r="K1589" s="1" t="s">
        <v>51</v>
      </c>
      <c r="L1589" s="1"/>
      <c r="M1589" s="1" t="s">
        <v>6619</v>
      </c>
      <c r="N1589" s="1" t="s">
        <v>977</v>
      </c>
      <c r="O1589" s="1" t="s">
        <v>978</v>
      </c>
      <c r="P1589" s="2">
        <v>43773.7871527778</v>
      </c>
      <c r="Q1589" s="1" t="s">
        <v>74</v>
      </c>
      <c r="R1589" s="3">
        <v>43790.0</v>
      </c>
      <c r="S1589" s="1"/>
      <c r="T1589" s="1">
        <v>3509502.0</v>
      </c>
      <c r="U1589" s="1" t="s">
        <v>97</v>
      </c>
      <c r="V1589" s="1" t="s">
        <v>58</v>
      </c>
      <c r="W1589" s="1" t="s">
        <v>59</v>
      </c>
      <c r="X1589" s="1"/>
      <c r="Y1589" s="1"/>
      <c r="Z1589" s="1" t="s">
        <v>980</v>
      </c>
      <c r="AA1589" s="1" t="s">
        <v>6545</v>
      </c>
      <c r="AB1589" s="1" t="str">
        <f>"01449930000351"</f>
        <v>01449930000351</v>
      </c>
      <c r="AC1589" s="1"/>
      <c r="AD1589" s="1" t="s">
        <v>149</v>
      </c>
      <c r="AE1589" s="1"/>
      <c r="AF1589" s="1">
        <v>-47.144169</v>
      </c>
      <c r="AG1589" s="1">
        <v>-23.007778</v>
      </c>
      <c r="AH1589" s="1" t="s">
        <v>3543</v>
      </c>
      <c r="AI1589" s="1"/>
      <c r="AJ1589" s="1" t="s">
        <v>64</v>
      </c>
      <c r="AK1589" s="1"/>
      <c r="AL1589" s="1"/>
      <c r="AM1589" s="1" t="s">
        <v>65</v>
      </c>
      <c r="AN1589" s="1" t="s">
        <v>102</v>
      </c>
      <c r="AO1589" s="1"/>
      <c r="AP1589" s="2">
        <v>44183.7969097222</v>
      </c>
      <c r="AQ1589" s="1"/>
      <c r="AR1589" s="1" t="s">
        <v>6546</v>
      </c>
      <c r="AS1589" s="1"/>
      <c r="AT1589" s="2">
        <v>44269.931099537</v>
      </c>
    </row>
    <row r="1590" ht="13.5" customHeight="1">
      <c r="A1590" s="1"/>
      <c r="B1590" s="1" t="s">
        <v>46</v>
      </c>
      <c r="C1590" s="1" t="s">
        <v>47</v>
      </c>
      <c r="D1590" s="1"/>
      <c r="E1590" s="1" t="s">
        <v>6620</v>
      </c>
      <c r="F1590" s="1"/>
      <c r="G1590" s="1"/>
      <c r="H1590" s="1" t="s">
        <v>50</v>
      </c>
      <c r="I1590" s="1">
        <v>201500.0</v>
      </c>
      <c r="J1590" s="1"/>
      <c r="K1590" s="1" t="s">
        <v>140</v>
      </c>
      <c r="L1590" s="1"/>
      <c r="M1590" s="1" t="s">
        <v>6621</v>
      </c>
      <c r="N1590" s="1" t="s">
        <v>123</v>
      </c>
      <c r="O1590" s="1" t="s">
        <v>73</v>
      </c>
      <c r="P1590" s="2">
        <v>43773.7869097222</v>
      </c>
      <c r="Q1590" s="1" t="s">
        <v>74</v>
      </c>
      <c r="R1590" s="3">
        <v>43776.0</v>
      </c>
      <c r="S1590" s="1"/>
      <c r="T1590" s="1">
        <v>5103700.0</v>
      </c>
      <c r="U1590" s="1" t="s">
        <v>5945</v>
      </c>
      <c r="V1590" s="1" t="s">
        <v>164</v>
      </c>
      <c r="W1590" s="1" t="s">
        <v>177</v>
      </c>
      <c r="X1590" s="1"/>
      <c r="Y1590" s="1"/>
      <c r="Z1590" s="1" t="s">
        <v>76</v>
      </c>
      <c r="AA1590" s="1" t="s">
        <v>6622</v>
      </c>
      <c r="AB1590" s="1" t="str">
        <f>"***230811**"</f>
        <v>***230811**</v>
      </c>
      <c r="AC1590" s="1"/>
      <c r="AD1590" s="1" t="s">
        <v>62</v>
      </c>
      <c r="AE1590" s="1"/>
      <c r="AF1590" s="1">
        <v>-55.040001</v>
      </c>
      <c r="AG1590" s="1">
        <v>-12.504167</v>
      </c>
      <c r="AH1590" s="1" t="s">
        <v>6623</v>
      </c>
      <c r="AI1590" s="1"/>
      <c r="AJ1590" s="1" t="s">
        <v>172</v>
      </c>
      <c r="AK1590" s="1"/>
      <c r="AL1590" s="1"/>
      <c r="AM1590" s="1" t="s">
        <v>65</v>
      </c>
      <c r="AN1590" s="1" t="s">
        <v>2164</v>
      </c>
      <c r="AO1590" s="1"/>
      <c r="AP1590" s="2">
        <v>43773.7945949074</v>
      </c>
      <c r="AQ1590" s="1"/>
      <c r="AR1590" s="1" t="s">
        <v>2549</v>
      </c>
      <c r="AS1590" s="1"/>
      <c r="AT1590" s="2">
        <v>44269.931099537</v>
      </c>
    </row>
    <row r="1591" ht="13.5" customHeight="1">
      <c r="A1591" s="1"/>
      <c r="B1591" s="1" t="s">
        <v>46</v>
      </c>
      <c r="C1591" s="1" t="s">
        <v>47</v>
      </c>
      <c r="D1591" s="1"/>
      <c r="E1591" s="1" t="s">
        <v>6624</v>
      </c>
      <c r="F1591" s="1"/>
      <c r="G1591" s="1" t="s">
        <v>5034</v>
      </c>
      <c r="H1591" s="1" t="s">
        <v>50</v>
      </c>
      <c r="I1591" s="1">
        <v>250.0</v>
      </c>
      <c r="J1591" s="1"/>
      <c r="K1591" s="1" t="s">
        <v>51</v>
      </c>
      <c r="L1591" s="1"/>
      <c r="M1591" s="1" t="s">
        <v>6625</v>
      </c>
      <c r="N1591" s="1" t="s">
        <v>977</v>
      </c>
      <c r="O1591" s="1" t="s">
        <v>978</v>
      </c>
      <c r="P1591" s="2">
        <v>43773.7753587963</v>
      </c>
      <c r="Q1591" s="1" t="s">
        <v>74</v>
      </c>
      <c r="R1591" s="3">
        <v>43790.0</v>
      </c>
      <c r="S1591" s="1"/>
      <c r="T1591" s="1">
        <v>3509502.0</v>
      </c>
      <c r="U1591" s="1" t="s">
        <v>97</v>
      </c>
      <c r="V1591" s="1" t="s">
        <v>58</v>
      </c>
      <c r="W1591" s="1" t="s">
        <v>59</v>
      </c>
      <c r="X1591" s="1"/>
      <c r="Y1591" s="1"/>
      <c r="Z1591" s="1" t="s">
        <v>980</v>
      </c>
      <c r="AA1591" s="1" t="s">
        <v>6545</v>
      </c>
      <c r="AB1591" s="1" t="str">
        <f>"01449930000351"</f>
        <v>01449930000351</v>
      </c>
      <c r="AC1591" s="1"/>
      <c r="AD1591" s="1" t="s">
        <v>149</v>
      </c>
      <c r="AE1591" s="1"/>
      <c r="AF1591" s="1">
        <v>-47.144169</v>
      </c>
      <c r="AG1591" s="1">
        <v>-23.007778</v>
      </c>
      <c r="AH1591" s="1" t="s">
        <v>3543</v>
      </c>
      <c r="AI1591" s="1"/>
      <c r="AJ1591" s="1" t="s">
        <v>64</v>
      </c>
      <c r="AK1591" s="1"/>
      <c r="AL1591" s="1"/>
      <c r="AM1591" s="1" t="s">
        <v>65</v>
      </c>
      <c r="AN1591" s="1" t="s">
        <v>102</v>
      </c>
      <c r="AO1591" s="1"/>
      <c r="AP1591" s="2">
        <v>44183.7970023148</v>
      </c>
      <c r="AQ1591" s="1"/>
      <c r="AR1591" s="1" t="s">
        <v>6546</v>
      </c>
      <c r="AS1591" s="1"/>
      <c r="AT1591" s="2">
        <v>44269.931099537</v>
      </c>
    </row>
    <row r="1592" ht="13.5" customHeight="1">
      <c r="A1592" s="1"/>
      <c r="B1592" s="1" t="s">
        <v>46</v>
      </c>
      <c r="C1592" s="1" t="s">
        <v>47</v>
      </c>
      <c r="D1592" s="1"/>
      <c r="E1592" s="1" t="s">
        <v>6626</v>
      </c>
      <c r="F1592" s="1"/>
      <c r="G1592" s="1"/>
      <c r="H1592" s="1" t="s">
        <v>93</v>
      </c>
      <c r="I1592" s="1">
        <v>365000.0</v>
      </c>
      <c r="J1592" s="1"/>
      <c r="K1592" s="1"/>
      <c r="L1592" s="1"/>
      <c r="M1592" s="1" t="s">
        <v>6627</v>
      </c>
      <c r="N1592" s="1" t="s">
        <v>142</v>
      </c>
      <c r="O1592" s="1" t="s">
        <v>143</v>
      </c>
      <c r="P1592" s="2">
        <v>43773.77375</v>
      </c>
      <c r="Q1592" s="1" t="s">
        <v>74</v>
      </c>
      <c r="R1592" s="3">
        <v>43776.0</v>
      </c>
      <c r="S1592" s="1"/>
      <c r="T1592" s="1">
        <v>5300108.0</v>
      </c>
      <c r="U1592" s="1" t="s">
        <v>1541</v>
      </c>
      <c r="V1592" s="1" t="s">
        <v>1542</v>
      </c>
      <c r="W1592" s="1" t="s">
        <v>177</v>
      </c>
      <c r="X1592" s="1"/>
      <c r="Y1592" s="1"/>
      <c r="Z1592" s="1" t="s">
        <v>147</v>
      </c>
      <c r="AA1592" s="1" t="s">
        <v>6622</v>
      </c>
      <c r="AB1592" s="1" t="str">
        <f>"***230811**"</f>
        <v>***230811**</v>
      </c>
      <c r="AC1592" s="1"/>
      <c r="AD1592" s="1" t="s">
        <v>116</v>
      </c>
      <c r="AE1592" s="1"/>
      <c r="AF1592" s="1">
        <v>-55.040833</v>
      </c>
      <c r="AG1592" s="1">
        <v>-12.504167</v>
      </c>
      <c r="AH1592" s="1" t="s">
        <v>6628</v>
      </c>
      <c r="AI1592" s="1"/>
      <c r="AJ1592" s="1" t="s">
        <v>172</v>
      </c>
      <c r="AK1592" s="1"/>
      <c r="AL1592" s="1"/>
      <c r="AM1592" s="1" t="s">
        <v>65</v>
      </c>
      <c r="AN1592" s="1" t="s">
        <v>2164</v>
      </c>
      <c r="AO1592" s="1"/>
      <c r="AP1592" s="2">
        <v>43773.7824768519</v>
      </c>
      <c r="AQ1592" s="1"/>
      <c r="AR1592" s="1" t="s">
        <v>644</v>
      </c>
      <c r="AS1592" s="1"/>
      <c r="AT1592" s="2">
        <v>44269.931099537</v>
      </c>
    </row>
    <row r="1593" ht="13.5" customHeight="1">
      <c r="A1593" s="1"/>
      <c r="B1593" s="1" t="s">
        <v>46</v>
      </c>
      <c r="C1593" s="1" t="s">
        <v>47</v>
      </c>
      <c r="D1593" s="1"/>
      <c r="E1593" s="1" t="s">
        <v>6629</v>
      </c>
      <c r="F1593" s="1"/>
      <c r="G1593" s="1" t="s">
        <v>5034</v>
      </c>
      <c r="H1593" s="1" t="s">
        <v>50</v>
      </c>
      <c r="I1593" s="1">
        <v>250.0</v>
      </c>
      <c r="J1593" s="1"/>
      <c r="K1593" s="1" t="s">
        <v>51</v>
      </c>
      <c r="L1593" s="1"/>
      <c r="M1593" s="1" t="s">
        <v>6630</v>
      </c>
      <c r="N1593" s="1" t="s">
        <v>977</v>
      </c>
      <c r="O1593" s="1" t="s">
        <v>978</v>
      </c>
      <c r="P1593" s="2">
        <v>43773.7680092593</v>
      </c>
      <c r="Q1593" s="1" t="s">
        <v>74</v>
      </c>
      <c r="R1593" s="3">
        <v>43790.0</v>
      </c>
      <c r="S1593" s="1"/>
      <c r="T1593" s="1">
        <v>3509502.0</v>
      </c>
      <c r="U1593" s="1" t="s">
        <v>97</v>
      </c>
      <c r="V1593" s="1" t="s">
        <v>58</v>
      </c>
      <c r="W1593" s="1" t="s">
        <v>59</v>
      </c>
      <c r="X1593" s="1"/>
      <c r="Y1593" s="1"/>
      <c r="Z1593" s="1" t="s">
        <v>980</v>
      </c>
      <c r="AA1593" s="1" t="s">
        <v>6545</v>
      </c>
      <c r="AB1593" s="1" t="str">
        <f t="shared" ref="AB1593:AB1594" si="96">"01449930000351"</f>
        <v>01449930000351</v>
      </c>
      <c r="AC1593" s="1"/>
      <c r="AD1593" s="1" t="s">
        <v>149</v>
      </c>
      <c r="AE1593" s="1"/>
      <c r="AF1593" s="1">
        <v>-47.144169</v>
      </c>
      <c r="AG1593" s="1">
        <v>-23.007778</v>
      </c>
      <c r="AH1593" s="1" t="s">
        <v>3543</v>
      </c>
      <c r="AI1593" s="1"/>
      <c r="AJ1593" s="1" t="s">
        <v>64</v>
      </c>
      <c r="AK1593" s="1"/>
      <c r="AL1593" s="1"/>
      <c r="AM1593" s="1" t="s">
        <v>65</v>
      </c>
      <c r="AN1593" s="1" t="s">
        <v>102</v>
      </c>
      <c r="AO1593" s="1"/>
      <c r="AP1593" s="2">
        <v>44183.7971064815</v>
      </c>
      <c r="AQ1593" s="1"/>
      <c r="AR1593" s="1" t="s">
        <v>6546</v>
      </c>
      <c r="AS1593" s="1"/>
      <c r="AT1593" s="2">
        <v>44269.931099537</v>
      </c>
    </row>
    <row r="1594" ht="13.5" customHeight="1">
      <c r="A1594" s="1"/>
      <c r="B1594" s="1" t="s">
        <v>46</v>
      </c>
      <c r="C1594" s="1" t="s">
        <v>47</v>
      </c>
      <c r="D1594" s="1"/>
      <c r="E1594" s="1" t="s">
        <v>6631</v>
      </c>
      <c r="F1594" s="1"/>
      <c r="G1594" s="1" t="s">
        <v>5034</v>
      </c>
      <c r="H1594" s="1" t="s">
        <v>50</v>
      </c>
      <c r="I1594" s="1">
        <v>250.0</v>
      </c>
      <c r="J1594" s="1"/>
      <c r="K1594" s="1" t="s">
        <v>51</v>
      </c>
      <c r="L1594" s="1"/>
      <c r="M1594" s="1" t="s">
        <v>6632</v>
      </c>
      <c r="N1594" s="1" t="s">
        <v>977</v>
      </c>
      <c r="O1594" s="1" t="s">
        <v>978</v>
      </c>
      <c r="P1594" s="2">
        <v>43773.7609259259</v>
      </c>
      <c r="Q1594" s="1" t="s">
        <v>74</v>
      </c>
      <c r="R1594" s="3">
        <v>43790.0</v>
      </c>
      <c r="S1594" s="1"/>
      <c r="T1594" s="1">
        <v>3509502.0</v>
      </c>
      <c r="U1594" s="1" t="s">
        <v>97</v>
      </c>
      <c r="V1594" s="1" t="s">
        <v>58</v>
      </c>
      <c r="W1594" s="1" t="s">
        <v>59</v>
      </c>
      <c r="X1594" s="1"/>
      <c r="Y1594" s="1"/>
      <c r="Z1594" s="1" t="s">
        <v>980</v>
      </c>
      <c r="AA1594" s="1" t="s">
        <v>6545</v>
      </c>
      <c r="AB1594" s="1" t="str">
        <f t="shared" si="96"/>
        <v>01449930000351</v>
      </c>
      <c r="AC1594" s="1"/>
      <c r="AD1594" s="1" t="s">
        <v>149</v>
      </c>
      <c r="AE1594" s="1"/>
      <c r="AF1594" s="1">
        <v>-47.144169</v>
      </c>
      <c r="AG1594" s="1">
        <v>-23.007778</v>
      </c>
      <c r="AH1594" s="1" t="s">
        <v>3543</v>
      </c>
      <c r="AI1594" s="1"/>
      <c r="AJ1594" s="1" t="s">
        <v>64</v>
      </c>
      <c r="AK1594" s="1"/>
      <c r="AL1594" s="1"/>
      <c r="AM1594" s="1" t="s">
        <v>65</v>
      </c>
      <c r="AN1594" s="1" t="s">
        <v>102</v>
      </c>
      <c r="AO1594" s="1"/>
      <c r="AP1594" s="2">
        <v>44183.7972106482</v>
      </c>
      <c r="AQ1594" s="1"/>
      <c r="AR1594" s="1" t="s">
        <v>6546</v>
      </c>
      <c r="AS1594" s="1"/>
      <c r="AT1594" s="2">
        <v>44269.931099537</v>
      </c>
    </row>
    <row r="1595" ht="13.5" customHeight="1">
      <c r="A1595" s="1"/>
      <c r="B1595" s="1" t="s">
        <v>46</v>
      </c>
      <c r="C1595" s="1" t="s">
        <v>47</v>
      </c>
      <c r="D1595" s="1"/>
      <c r="E1595" s="1" t="s">
        <v>6633</v>
      </c>
      <c r="F1595" s="1"/>
      <c r="G1595" s="1"/>
      <c r="H1595" s="1" t="s">
        <v>93</v>
      </c>
      <c r="I1595" s="1">
        <v>365000.0</v>
      </c>
      <c r="J1595" s="1"/>
      <c r="K1595" s="1"/>
      <c r="L1595" s="1"/>
      <c r="M1595" s="1" t="s">
        <v>6627</v>
      </c>
      <c r="N1595" s="1" t="s">
        <v>142</v>
      </c>
      <c r="O1595" s="1" t="s">
        <v>143</v>
      </c>
      <c r="P1595" s="2">
        <v>43773.7603009259</v>
      </c>
      <c r="Q1595" s="1" t="s">
        <v>74</v>
      </c>
      <c r="R1595" s="3">
        <v>43776.0</v>
      </c>
      <c r="S1595" s="1"/>
      <c r="T1595" s="1">
        <v>5103700.0</v>
      </c>
      <c r="U1595" s="1" t="s">
        <v>5945</v>
      </c>
      <c r="V1595" s="1" t="s">
        <v>164</v>
      </c>
      <c r="W1595" s="1" t="s">
        <v>177</v>
      </c>
      <c r="X1595" s="1"/>
      <c r="Y1595" s="1"/>
      <c r="Z1595" s="1" t="s">
        <v>147</v>
      </c>
      <c r="AA1595" s="1" t="s">
        <v>6616</v>
      </c>
      <c r="AB1595" s="1" t="str">
        <f>"***559251**"</f>
        <v>***559251**</v>
      </c>
      <c r="AC1595" s="1"/>
      <c r="AD1595" s="1" t="s">
        <v>116</v>
      </c>
      <c r="AE1595" s="1"/>
      <c r="AF1595" s="1">
        <v>-55.040001</v>
      </c>
      <c r="AG1595" s="1">
        <v>-12.504167</v>
      </c>
      <c r="AH1595" s="1" t="s">
        <v>6617</v>
      </c>
      <c r="AI1595" s="1"/>
      <c r="AJ1595" s="1" t="s">
        <v>172</v>
      </c>
      <c r="AK1595" s="1"/>
      <c r="AL1595" s="1"/>
      <c r="AM1595" s="1" t="s">
        <v>65</v>
      </c>
      <c r="AN1595" s="1" t="s">
        <v>2164</v>
      </c>
      <c r="AO1595" s="1"/>
      <c r="AP1595" s="2">
        <v>43773.7697106481</v>
      </c>
      <c r="AQ1595" s="1"/>
      <c r="AR1595" s="1" t="s">
        <v>644</v>
      </c>
      <c r="AS1595" s="1"/>
      <c r="AT1595" s="2">
        <v>44269.931099537</v>
      </c>
    </row>
    <row r="1596" ht="13.5" customHeight="1">
      <c r="A1596" s="1"/>
      <c r="B1596" s="1" t="s">
        <v>46</v>
      </c>
      <c r="C1596" s="1" t="s">
        <v>47</v>
      </c>
      <c r="D1596" s="1"/>
      <c r="E1596" s="1" t="s">
        <v>6634</v>
      </c>
      <c r="F1596" s="1"/>
      <c r="G1596" s="1" t="s">
        <v>49</v>
      </c>
      <c r="H1596" s="1" t="s">
        <v>50</v>
      </c>
      <c r="I1596" s="1">
        <v>4000.0</v>
      </c>
      <c r="J1596" s="1"/>
      <c r="K1596" s="1" t="s">
        <v>51</v>
      </c>
      <c r="L1596" s="1"/>
      <c r="M1596" s="1" t="s">
        <v>6635</v>
      </c>
      <c r="N1596" s="1" t="s">
        <v>123</v>
      </c>
      <c r="O1596" s="1" t="s">
        <v>73</v>
      </c>
      <c r="P1596" s="2">
        <v>43773.753599537</v>
      </c>
      <c r="Q1596" s="1" t="s">
        <v>74</v>
      </c>
      <c r="R1596" s="3">
        <v>43790.0</v>
      </c>
      <c r="S1596" s="1"/>
      <c r="T1596" s="1">
        <v>3509502.0</v>
      </c>
      <c r="U1596" s="1" t="s">
        <v>97</v>
      </c>
      <c r="V1596" s="1" t="s">
        <v>58</v>
      </c>
      <c r="W1596" s="1" t="s">
        <v>59</v>
      </c>
      <c r="X1596" s="1"/>
      <c r="Y1596" s="1"/>
      <c r="Z1596" s="1" t="s">
        <v>76</v>
      </c>
      <c r="AA1596" s="1" t="s">
        <v>6545</v>
      </c>
      <c r="AB1596" s="1" t="str">
        <f>"01449930000351"</f>
        <v>01449930000351</v>
      </c>
      <c r="AC1596" s="1"/>
      <c r="AD1596" s="1" t="s">
        <v>62</v>
      </c>
      <c r="AE1596" s="1"/>
      <c r="AF1596" s="1">
        <v>-47.144169</v>
      </c>
      <c r="AG1596" s="1">
        <v>-23.007778</v>
      </c>
      <c r="AH1596" s="1" t="s">
        <v>3543</v>
      </c>
      <c r="AI1596" s="1"/>
      <c r="AJ1596" s="1" t="s">
        <v>64</v>
      </c>
      <c r="AK1596" s="1"/>
      <c r="AL1596" s="1"/>
      <c r="AM1596" s="1" t="s">
        <v>65</v>
      </c>
      <c r="AN1596" s="1" t="s">
        <v>102</v>
      </c>
      <c r="AO1596" s="1"/>
      <c r="AP1596" s="2">
        <v>44183.7975462963</v>
      </c>
      <c r="AQ1596" s="1"/>
      <c r="AR1596" s="1" t="s">
        <v>6636</v>
      </c>
      <c r="AS1596" s="1"/>
      <c r="AT1596" s="2">
        <v>44269.931099537</v>
      </c>
    </row>
    <row r="1597" ht="13.5" customHeight="1">
      <c r="A1597" s="1">
        <v>2043827.0</v>
      </c>
      <c r="B1597" s="1" t="s">
        <v>67</v>
      </c>
      <c r="C1597" s="1" t="s">
        <v>68</v>
      </c>
      <c r="D1597" s="1" t="s">
        <v>46</v>
      </c>
      <c r="E1597" s="1" t="s">
        <v>6637</v>
      </c>
      <c r="F1597" s="1"/>
      <c r="G1597" s="1" t="s">
        <v>70</v>
      </c>
      <c r="H1597" s="1" t="s">
        <v>93</v>
      </c>
      <c r="I1597" s="1">
        <v>9000.0</v>
      </c>
      <c r="J1597" s="1"/>
      <c r="K1597" s="1"/>
      <c r="L1597" s="1" t="s">
        <v>371</v>
      </c>
      <c r="M1597" s="1" t="s">
        <v>6638</v>
      </c>
      <c r="N1597" s="1" t="s">
        <v>108</v>
      </c>
      <c r="O1597" s="1" t="s">
        <v>109</v>
      </c>
      <c r="P1597" s="2">
        <v>43773.75</v>
      </c>
      <c r="Q1597" s="1" t="s">
        <v>74</v>
      </c>
      <c r="R1597" s="1"/>
      <c r="S1597" s="1"/>
      <c r="T1597" s="1">
        <v>5220454.0</v>
      </c>
      <c r="U1597" s="1" t="s">
        <v>6639</v>
      </c>
      <c r="V1597" s="1" t="s">
        <v>375</v>
      </c>
      <c r="W1597" s="1" t="s">
        <v>127</v>
      </c>
      <c r="X1597" s="1"/>
      <c r="Y1597" s="1"/>
      <c r="Z1597" s="1" t="s">
        <v>226</v>
      </c>
      <c r="AA1597" s="1" t="s">
        <v>6640</v>
      </c>
      <c r="AB1597" s="1" t="str">
        <f>"05673133000142"</f>
        <v>05673133000142</v>
      </c>
      <c r="AC1597" s="1"/>
      <c r="AD1597" s="1"/>
      <c r="AE1597" s="1"/>
      <c r="AF1597" s="1">
        <v>-49.246666</v>
      </c>
      <c r="AG1597" s="1">
        <v>-16.674166</v>
      </c>
      <c r="AH1597" s="1" t="s">
        <v>6640</v>
      </c>
      <c r="AI1597" s="1"/>
      <c r="AJ1597" s="1" t="s">
        <v>371</v>
      </c>
      <c r="AK1597" s="1"/>
      <c r="AL1597" s="1" t="s">
        <v>79</v>
      </c>
      <c r="AM1597" s="1" t="s">
        <v>65</v>
      </c>
      <c r="AN1597" s="1" t="s">
        <v>3712</v>
      </c>
      <c r="AO1597" s="2">
        <v>44253.0</v>
      </c>
      <c r="AP1597" s="2">
        <v>44253.6651273148</v>
      </c>
      <c r="AQ1597" s="1" t="s">
        <v>80</v>
      </c>
      <c r="AR1597" s="1" t="s">
        <v>1149</v>
      </c>
      <c r="AS1597" s="1"/>
      <c r="AT1597" s="2">
        <v>44269.931099537</v>
      </c>
    </row>
    <row r="1598" ht="13.5" customHeight="1">
      <c r="A1598" s="1">
        <v>2044326.0</v>
      </c>
      <c r="B1598" s="1" t="s">
        <v>67</v>
      </c>
      <c r="C1598" s="1" t="s">
        <v>68</v>
      </c>
      <c r="D1598" s="1" t="s">
        <v>46</v>
      </c>
      <c r="E1598" s="1" t="s">
        <v>6641</v>
      </c>
      <c r="F1598" s="1"/>
      <c r="G1598" s="1" t="s">
        <v>70</v>
      </c>
      <c r="H1598" s="1" t="s">
        <v>93</v>
      </c>
      <c r="I1598" s="1">
        <v>355000.0</v>
      </c>
      <c r="J1598" s="1"/>
      <c r="K1598" s="1"/>
      <c r="L1598" s="1" t="s">
        <v>172</v>
      </c>
      <c r="M1598" s="1" t="s">
        <v>6642</v>
      </c>
      <c r="N1598" s="1" t="s">
        <v>142</v>
      </c>
      <c r="O1598" s="1" t="s">
        <v>143</v>
      </c>
      <c r="P1598" s="2">
        <v>43773.75</v>
      </c>
      <c r="Q1598" s="1" t="s">
        <v>74</v>
      </c>
      <c r="R1598" s="3">
        <v>43776.0</v>
      </c>
      <c r="S1598" s="1"/>
      <c r="T1598" s="1">
        <v>5300108.0</v>
      </c>
      <c r="U1598" s="1" t="s">
        <v>1541</v>
      </c>
      <c r="V1598" s="1" t="s">
        <v>1542</v>
      </c>
      <c r="W1598" s="1" t="s">
        <v>177</v>
      </c>
      <c r="X1598" s="1"/>
      <c r="Y1598" s="1" t="str">
        <f>"02001000149202066"</f>
        <v>02001000149202066</v>
      </c>
      <c r="Z1598" s="1" t="s">
        <v>147</v>
      </c>
      <c r="AA1598" s="1" t="s">
        <v>6643</v>
      </c>
      <c r="AB1598" s="1" t="str">
        <f>"***098822**"</f>
        <v>***098822**</v>
      </c>
      <c r="AC1598" s="1"/>
      <c r="AD1598" s="1"/>
      <c r="AE1598" s="1"/>
      <c r="AF1598" s="1">
        <v>-61.639721</v>
      </c>
      <c r="AG1598" s="1">
        <v>-8.102222</v>
      </c>
      <c r="AH1598" s="1" t="s">
        <v>6644</v>
      </c>
      <c r="AI1598" s="1"/>
      <c r="AJ1598" s="1" t="s">
        <v>172</v>
      </c>
      <c r="AK1598" s="1"/>
      <c r="AL1598" s="1" t="s">
        <v>79</v>
      </c>
      <c r="AM1598" s="1" t="s">
        <v>65</v>
      </c>
      <c r="AN1598" s="1" t="s">
        <v>2164</v>
      </c>
      <c r="AO1598" s="2">
        <v>44267.0</v>
      </c>
      <c r="AP1598" s="2">
        <v>44267.7623842593</v>
      </c>
      <c r="AQ1598" s="1" t="s">
        <v>80</v>
      </c>
      <c r="AR1598" s="1" t="s">
        <v>650</v>
      </c>
      <c r="AS1598" s="1"/>
      <c r="AT1598" s="2">
        <v>44269.931099537</v>
      </c>
    </row>
    <row r="1599" ht="13.5" customHeight="1">
      <c r="A1599" s="1"/>
      <c r="B1599" s="1" t="s">
        <v>46</v>
      </c>
      <c r="C1599" s="1" t="s">
        <v>47</v>
      </c>
      <c r="D1599" s="1"/>
      <c r="E1599" s="1" t="s">
        <v>6645</v>
      </c>
      <c r="F1599" s="1"/>
      <c r="G1599" s="1" t="s">
        <v>49</v>
      </c>
      <c r="H1599" s="1" t="s">
        <v>50</v>
      </c>
      <c r="I1599" s="1">
        <v>201500.0</v>
      </c>
      <c r="J1599" s="1"/>
      <c r="K1599" s="1" t="s">
        <v>140</v>
      </c>
      <c r="L1599" s="1"/>
      <c r="M1599" s="1" t="s">
        <v>6646</v>
      </c>
      <c r="N1599" s="1" t="s">
        <v>123</v>
      </c>
      <c r="O1599" s="1" t="s">
        <v>73</v>
      </c>
      <c r="P1599" s="2">
        <v>43773.7310532407</v>
      </c>
      <c r="Q1599" s="1" t="s">
        <v>74</v>
      </c>
      <c r="R1599" s="3">
        <v>43773.0</v>
      </c>
      <c r="S1599" s="1"/>
      <c r="T1599" s="1">
        <v>5105101.0</v>
      </c>
      <c r="U1599" s="1" t="s">
        <v>6647</v>
      </c>
      <c r="V1599" s="1" t="s">
        <v>164</v>
      </c>
      <c r="W1599" s="1" t="s">
        <v>177</v>
      </c>
      <c r="X1599" s="1"/>
      <c r="Y1599" s="1"/>
      <c r="Z1599" s="1" t="s">
        <v>76</v>
      </c>
      <c r="AA1599" s="1" t="s">
        <v>6648</v>
      </c>
      <c r="AB1599" s="1" t="str">
        <f>"***891228**"</f>
        <v>***891228**</v>
      </c>
      <c r="AC1599" s="1"/>
      <c r="AD1599" s="1" t="s">
        <v>62</v>
      </c>
      <c r="AE1599" s="1"/>
      <c r="AF1599" s="1">
        <v>-57.587223</v>
      </c>
      <c r="AG1599" s="1">
        <v>-10.912778</v>
      </c>
      <c r="AH1599" s="1" t="s">
        <v>6649</v>
      </c>
      <c r="AI1599" s="1"/>
      <c r="AJ1599" s="1" t="s">
        <v>167</v>
      </c>
      <c r="AK1599" s="1"/>
      <c r="AL1599" s="1"/>
      <c r="AM1599" s="1" t="s">
        <v>65</v>
      </c>
      <c r="AN1599" s="1" t="s">
        <v>337</v>
      </c>
      <c r="AO1599" s="1"/>
      <c r="AP1599" s="2">
        <v>44022.6396064815</v>
      </c>
      <c r="AQ1599" s="1"/>
      <c r="AR1599" s="1" t="s">
        <v>396</v>
      </c>
      <c r="AS1599" s="1"/>
      <c r="AT1599" s="2">
        <v>44269.931099537</v>
      </c>
    </row>
    <row r="1600" ht="13.5" customHeight="1">
      <c r="A1600" s="1">
        <v>2035917.0</v>
      </c>
      <c r="B1600" s="1" t="s">
        <v>67</v>
      </c>
      <c r="C1600" s="1" t="s">
        <v>68</v>
      </c>
      <c r="D1600" s="1" t="s">
        <v>46</v>
      </c>
      <c r="E1600" s="1" t="s">
        <v>6650</v>
      </c>
      <c r="F1600" s="1"/>
      <c r="G1600" s="1" t="s">
        <v>70</v>
      </c>
      <c r="H1600" s="1" t="s">
        <v>93</v>
      </c>
      <c r="I1600" s="1">
        <v>4.6545E7</v>
      </c>
      <c r="J1600" s="1"/>
      <c r="K1600" s="1"/>
      <c r="L1600" s="1" t="s">
        <v>172</v>
      </c>
      <c r="M1600" s="1" t="s">
        <v>6651</v>
      </c>
      <c r="N1600" s="1" t="s">
        <v>142</v>
      </c>
      <c r="O1600" s="1" t="s">
        <v>143</v>
      </c>
      <c r="P1600" s="2">
        <v>43773.7083333333</v>
      </c>
      <c r="Q1600" s="1" t="s">
        <v>74</v>
      </c>
      <c r="R1600" s="3">
        <v>43788.0</v>
      </c>
      <c r="S1600" s="1"/>
      <c r="T1600" s="1">
        <v>1100205.0</v>
      </c>
      <c r="U1600" s="1" t="s">
        <v>653</v>
      </c>
      <c r="V1600" s="1" t="s">
        <v>448</v>
      </c>
      <c r="W1600" s="1" t="s">
        <v>177</v>
      </c>
      <c r="X1600" s="1"/>
      <c r="Y1600" s="1" t="str">
        <f>"02001009280202099"</f>
        <v>02001009280202099</v>
      </c>
      <c r="Z1600" s="1" t="s">
        <v>147</v>
      </c>
      <c r="AA1600" s="1" t="s">
        <v>6652</v>
      </c>
      <c r="AB1600" s="1" t="str">
        <f>"77294254001913"</f>
        <v>77294254001913</v>
      </c>
      <c r="AC1600" s="1"/>
      <c r="AD1600" s="1"/>
      <c r="AE1600" s="1"/>
      <c r="AF1600" s="1">
        <v>-65.787224</v>
      </c>
      <c r="AG1600" s="1">
        <v>-9.649445</v>
      </c>
      <c r="AH1600" s="1" t="s">
        <v>6653</v>
      </c>
      <c r="AI1600" s="1"/>
      <c r="AJ1600" s="1" t="s">
        <v>172</v>
      </c>
      <c r="AK1600" s="1"/>
      <c r="AL1600" s="1" t="s">
        <v>79</v>
      </c>
      <c r="AM1600" s="1" t="s">
        <v>65</v>
      </c>
      <c r="AN1600" s="1" t="s">
        <v>6258</v>
      </c>
      <c r="AO1600" s="2">
        <v>43923.0</v>
      </c>
      <c r="AP1600" s="2">
        <v>43923.4371412037</v>
      </c>
      <c r="AQ1600" s="1" t="s">
        <v>80</v>
      </c>
      <c r="AR1600" s="1" t="s">
        <v>6654</v>
      </c>
      <c r="AS1600" s="1"/>
      <c r="AT1600" s="2">
        <v>44269.931099537</v>
      </c>
    </row>
    <row r="1601" ht="13.5" customHeight="1">
      <c r="A1601" s="1">
        <v>2035803.0</v>
      </c>
      <c r="B1601" s="1" t="s">
        <v>67</v>
      </c>
      <c r="C1601" s="1" t="s">
        <v>68</v>
      </c>
      <c r="D1601" s="1" t="s">
        <v>46</v>
      </c>
      <c r="E1601" s="1" t="s">
        <v>6655</v>
      </c>
      <c r="F1601" s="1"/>
      <c r="G1601" s="1" t="s">
        <v>70</v>
      </c>
      <c r="H1601" s="1" t="s">
        <v>93</v>
      </c>
      <c r="I1601" s="1">
        <v>4.6545E7</v>
      </c>
      <c r="J1601" s="1"/>
      <c r="K1601" s="1"/>
      <c r="L1601" s="1" t="s">
        <v>172</v>
      </c>
      <c r="M1601" s="1" t="s">
        <v>6656</v>
      </c>
      <c r="N1601" s="1" t="s">
        <v>142</v>
      </c>
      <c r="O1601" s="1" t="s">
        <v>143</v>
      </c>
      <c r="P1601" s="2">
        <v>43773.6666666667</v>
      </c>
      <c r="Q1601" s="1" t="s">
        <v>74</v>
      </c>
      <c r="R1601" s="3">
        <v>43801.0</v>
      </c>
      <c r="S1601" s="1"/>
      <c r="T1601" s="1">
        <v>1100205.0</v>
      </c>
      <c r="U1601" s="1" t="s">
        <v>653</v>
      </c>
      <c r="V1601" s="1" t="s">
        <v>448</v>
      </c>
      <c r="W1601" s="1" t="s">
        <v>177</v>
      </c>
      <c r="X1601" s="1"/>
      <c r="Y1601" s="1" t="str">
        <f>"02001008936202056"</f>
        <v>02001008936202056</v>
      </c>
      <c r="Z1601" s="1" t="s">
        <v>147</v>
      </c>
      <c r="AA1601" s="1" t="s">
        <v>6657</v>
      </c>
      <c r="AB1601" s="1" t="str">
        <f>"***391002**"</f>
        <v>***391002**</v>
      </c>
      <c r="AC1601" s="1"/>
      <c r="AD1601" s="1"/>
      <c r="AE1601" s="1"/>
      <c r="AF1601" s="1">
        <v>-65.787224</v>
      </c>
      <c r="AG1601" s="1">
        <v>-9.649445</v>
      </c>
      <c r="AH1601" s="1" t="s">
        <v>6658</v>
      </c>
      <c r="AI1601" s="1"/>
      <c r="AJ1601" s="1" t="s">
        <v>172</v>
      </c>
      <c r="AK1601" s="1"/>
      <c r="AL1601" s="1" t="s">
        <v>79</v>
      </c>
      <c r="AM1601" s="1" t="s">
        <v>65</v>
      </c>
      <c r="AN1601" s="1" t="s">
        <v>6258</v>
      </c>
      <c r="AO1601" s="2">
        <v>43920.0</v>
      </c>
      <c r="AP1601" s="2">
        <v>43920.4836689815</v>
      </c>
      <c r="AQ1601" s="1" t="s">
        <v>80</v>
      </c>
      <c r="AR1601" s="1" t="s">
        <v>6654</v>
      </c>
      <c r="AS1601" s="1"/>
      <c r="AT1601" s="2">
        <v>44269.931099537</v>
      </c>
    </row>
    <row r="1602" ht="13.5" customHeight="1">
      <c r="A1602" s="1">
        <v>2038966.0</v>
      </c>
      <c r="B1602" s="1" t="s">
        <v>67</v>
      </c>
      <c r="C1602" s="1" t="s">
        <v>68</v>
      </c>
      <c r="D1602" s="1" t="s">
        <v>46</v>
      </c>
      <c r="E1602" s="1" t="s">
        <v>6659</v>
      </c>
      <c r="F1602" s="1"/>
      <c r="G1602" s="1" t="s">
        <v>70</v>
      </c>
      <c r="H1602" s="1" t="s">
        <v>50</v>
      </c>
      <c r="I1602" s="1">
        <v>500.0</v>
      </c>
      <c r="J1602" s="1"/>
      <c r="K1602" s="1"/>
      <c r="L1602" s="1" t="s">
        <v>1040</v>
      </c>
      <c r="M1602" s="1" t="s">
        <v>6660</v>
      </c>
      <c r="N1602" s="1" t="s">
        <v>142</v>
      </c>
      <c r="O1602" s="1" t="s">
        <v>143</v>
      </c>
      <c r="P1602" s="2">
        <v>43773.6666666667</v>
      </c>
      <c r="Q1602" s="1" t="s">
        <v>55</v>
      </c>
      <c r="R1602" s="1"/>
      <c r="S1602" s="1"/>
      <c r="T1602" s="1">
        <v>2615607.0</v>
      </c>
      <c r="U1602" s="1" t="s">
        <v>5422</v>
      </c>
      <c r="V1602" s="1" t="s">
        <v>1037</v>
      </c>
      <c r="W1602" s="1" t="s">
        <v>113</v>
      </c>
      <c r="X1602" s="1"/>
      <c r="Y1602" s="1"/>
      <c r="Z1602" s="1" t="s">
        <v>147</v>
      </c>
      <c r="AA1602" s="1" t="s">
        <v>6661</v>
      </c>
      <c r="AB1602" s="1" t="str">
        <f>"29446748000102"</f>
        <v>29446748000102</v>
      </c>
      <c r="AC1602" s="1"/>
      <c r="AD1602" s="1"/>
      <c r="AE1602" s="1"/>
      <c r="AF1602" s="1">
        <v>-40.231945</v>
      </c>
      <c r="AG1602" s="1">
        <v>-7.731945</v>
      </c>
      <c r="AH1602" s="1" t="s">
        <v>6662</v>
      </c>
      <c r="AI1602" s="1"/>
      <c r="AJ1602" s="1" t="s">
        <v>1040</v>
      </c>
      <c r="AK1602" s="1"/>
      <c r="AL1602" s="1" t="s">
        <v>79</v>
      </c>
      <c r="AM1602" s="1" t="s">
        <v>65</v>
      </c>
      <c r="AN1602" s="1" t="s">
        <v>1279</v>
      </c>
      <c r="AO1602" s="2">
        <v>44050.0</v>
      </c>
      <c r="AP1602" s="2">
        <v>44050.2953356481</v>
      </c>
      <c r="AQ1602" s="1" t="s">
        <v>80</v>
      </c>
      <c r="AR1602" s="1" t="s">
        <v>909</v>
      </c>
      <c r="AS1602" s="1"/>
      <c r="AT1602" s="2">
        <v>44269.931099537</v>
      </c>
    </row>
    <row r="1603" ht="13.5" customHeight="1">
      <c r="A1603" s="1">
        <v>2042688.0</v>
      </c>
      <c r="B1603" s="1" t="s">
        <v>67</v>
      </c>
      <c r="C1603" s="1" t="s">
        <v>68</v>
      </c>
      <c r="D1603" s="1" t="s">
        <v>46</v>
      </c>
      <c r="E1603" s="1" t="s">
        <v>6663</v>
      </c>
      <c r="F1603" s="1"/>
      <c r="G1603" s="1" t="s">
        <v>70</v>
      </c>
      <c r="H1603" s="1" t="s">
        <v>93</v>
      </c>
      <c r="I1603" s="1">
        <v>2100.0</v>
      </c>
      <c r="J1603" s="1"/>
      <c r="K1603" s="1"/>
      <c r="L1603" s="1" t="s">
        <v>1040</v>
      </c>
      <c r="M1603" s="1" t="s">
        <v>6664</v>
      </c>
      <c r="N1603" s="1" t="s">
        <v>142</v>
      </c>
      <c r="O1603" s="1" t="s">
        <v>143</v>
      </c>
      <c r="P1603" s="2">
        <v>43773.6666666667</v>
      </c>
      <c r="Q1603" s="1" t="s">
        <v>55</v>
      </c>
      <c r="R1603" s="1"/>
      <c r="S1603" s="1"/>
      <c r="T1603" s="1">
        <v>2615607.0</v>
      </c>
      <c r="U1603" s="1" t="s">
        <v>5422</v>
      </c>
      <c r="V1603" s="1" t="s">
        <v>1037</v>
      </c>
      <c r="W1603" s="1" t="s">
        <v>113</v>
      </c>
      <c r="X1603" s="1"/>
      <c r="Y1603" s="1" t="str">
        <f>"02019000712202015"</f>
        <v>02019000712202015</v>
      </c>
      <c r="Z1603" s="1" t="s">
        <v>147</v>
      </c>
      <c r="AA1603" s="1" t="s">
        <v>6665</v>
      </c>
      <c r="AB1603" s="1" t="str">
        <f>"29131130000145"</f>
        <v>29131130000145</v>
      </c>
      <c r="AC1603" s="1"/>
      <c r="AD1603" s="1"/>
      <c r="AE1603" s="1"/>
      <c r="AF1603" s="1">
        <v>-40.25639</v>
      </c>
      <c r="AG1603" s="1">
        <v>-7.741945</v>
      </c>
      <c r="AH1603" s="1" t="s">
        <v>6666</v>
      </c>
      <c r="AI1603" s="1"/>
      <c r="AJ1603" s="1" t="s">
        <v>1040</v>
      </c>
      <c r="AK1603" s="1"/>
      <c r="AL1603" s="1" t="s">
        <v>79</v>
      </c>
      <c r="AM1603" s="1" t="s">
        <v>65</v>
      </c>
      <c r="AN1603" s="1" t="s">
        <v>1279</v>
      </c>
      <c r="AO1603" s="2">
        <v>44215.0</v>
      </c>
      <c r="AP1603" s="2">
        <v>44215.7398726852</v>
      </c>
      <c r="AQ1603" s="1" t="s">
        <v>80</v>
      </c>
      <c r="AR1603" s="1" t="s">
        <v>181</v>
      </c>
      <c r="AS1603" s="1"/>
      <c r="AT1603" s="2">
        <v>44269.931099537</v>
      </c>
    </row>
    <row r="1604" ht="13.5" customHeight="1">
      <c r="A1604" s="1">
        <v>1930756.0</v>
      </c>
      <c r="B1604" s="1" t="s">
        <v>67</v>
      </c>
      <c r="C1604" s="1" t="s">
        <v>68</v>
      </c>
      <c r="D1604" s="1" t="s">
        <v>46</v>
      </c>
      <c r="E1604" s="1">
        <v>9158485.0</v>
      </c>
      <c r="F1604" s="1" t="s">
        <v>1293</v>
      </c>
      <c r="G1604" s="1" t="s">
        <v>70</v>
      </c>
      <c r="H1604" s="1" t="s">
        <v>93</v>
      </c>
      <c r="I1604" s="1">
        <v>6331.02</v>
      </c>
      <c r="J1604" s="1"/>
      <c r="K1604" s="1"/>
      <c r="L1604" s="1" t="s">
        <v>167</v>
      </c>
      <c r="M1604" s="1" t="s">
        <v>6667</v>
      </c>
      <c r="N1604" s="1" t="s">
        <v>142</v>
      </c>
      <c r="O1604" s="1"/>
      <c r="P1604" s="2">
        <v>43773.6604166667</v>
      </c>
      <c r="Q1604" s="1" t="s">
        <v>373</v>
      </c>
      <c r="R1604" s="1"/>
      <c r="S1604" s="1"/>
      <c r="T1604" s="1">
        <v>5105150.0</v>
      </c>
      <c r="U1604" s="1" t="s">
        <v>5635</v>
      </c>
      <c r="V1604" s="1" t="s">
        <v>164</v>
      </c>
      <c r="W1604" s="1" t="s">
        <v>177</v>
      </c>
      <c r="X1604" s="1"/>
      <c r="Y1604" s="1" t="str">
        <f>"02055001219201934"</f>
        <v>02055001219201934</v>
      </c>
      <c r="Z1604" s="1" t="s">
        <v>147</v>
      </c>
      <c r="AA1604" s="1" t="s">
        <v>6668</v>
      </c>
      <c r="AB1604" s="1" t="str">
        <f>"***374102**"</f>
        <v>***374102**</v>
      </c>
      <c r="AC1604" s="1"/>
      <c r="AD1604" s="1" t="s">
        <v>116</v>
      </c>
      <c r="AE1604" s="1"/>
      <c r="AF1604" s="1">
        <v>-58.871667</v>
      </c>
      <c r="AG1604" s="1">
        <v>-11.554167</v>
      </c>
      <c r="AH1604" s="1" t="s">
        <v>6669</v>
      </c>
      <c r="AI1604" s="1"/>
      <c r="AJ1604" s="1" t="s">
        <v>65</v>
      </c>
      <c r="AK1604" s="1"/>
      <c r="AL1604" s="1" t="s">
        <v>118</v>
      </c>
      <c r="AM1604" s="1"/>
      <c r="AN1604" s="1"/>
      <c r="AO1604" s="2">
        <v>42880.6947222222</v>
      </c>
      <c r="AP1604" s="2">
        <v>44224.7013888889</v>
      </c>
      <c r="AQ1604" s="1" t="s">
        <v>80</v>
      </c>
      <c r="AR1604" s="1" t="s">
        <v>6670</v>
      </c>
      <c r="AS1604" s="1"/>
      <c r="AT1604" s="2">
        <v>44269.931099537</v>
      </c>
    </row>
    <row r="1605" ht="13.5" customHeight="1">
      <c r="A1605" s="1"/>
      <c r="B1605" s="1" t="s">
        <v>46</v>
      </c>
      <c r="C1605" s="1" t="s">
        <v>47</v>
      </c>
      <c r="D1605" s="1"/>
      <c r="E1605" s="1" t="s">
        <v>6671</v>
      </c>
      <c r="F1605" s="1"/>
      <c r="G1605" s="1"/>
      <c r="H1605" s="1" t="s">
        <v>93</v>
      </c>
      <c r="I1605" s="1">
        <v>6300.3</v>
      </c>
      <c r="J1605" s="1"/>
      <c r="K1605" s="1"/>
      <c r="L1605" s="1"/>
      <c r="M1605" s="1" t="s">
        <v>6672</v>
      </c>
      <c r="N1605" s="1" t="s">
        <v>142</v>
      </c>
      <c r="O1605" s="1" t="s">
        <v>143</v>
      </c>
      <c r="P1605" s="2">
        <v>43773.6480671296</v>
      </c>
      <c r="Q1605" s="1" t="s">
        <v>373</v>
      </c>
      <c r="R1605" s="1"/>
      <c r="S1605" s="1"/>
      <c r="T1605" s="1">
        <v>2210003.0</v>
      </c>
      <c r="U1605" s="1" t="s">
        <v>6673</v>
      </c>
      <c r="V1605" s="1" t="s">
        <v>895</v>
      </c>
      <c r="W1605" s="1" t="s">
        <v>113</v>
      </c>
      <c r="X1605" s="1"/>
      <c r="Y1605" s="1"/>
      <c r="Z1605" s="1" t="s">
        <v>147</v>
      </c>
      <c r="AA1605" s="1" t="s">
        <v>6674</v>
      </c>
      <c r="AB1605" s="1" t="str">
        <f>"08619868000267"</f>
        <v>08619868000267</v>
      </c>
      <c r="AC1605" s="1"/>
      <c r="AD1605" s="1" t="s">
        <v>149</v>
      </c>
      <c r="AE1605" s="1"/>
      <c r="AF1605" s="1">
        <v>-42.2575</v>
      </c>
      <c r="AG1605" s="1">
        <v>-8.354723</v>
      </c>
      <c r="AH1605" s="1" t="s">
        <v>6675</v>
      </c>
      <c r="AI1605" s="1"/>
      <c r="AJ1605" s="1" t="s">
        <v>898</v>
      </c>
      <c r="AK1605" s="1"/>
      <c r="AL1605" s="1"/>
      <c r="AM1605" s="1" t="s">
        <v>65</v>
      </c>
      <c r="AN1605" s="1" t="s">
        <v>152</v>
      </c>
      <c r="AO1605" s="1"/>
      <c r="AP1605" s="2">
        <v>43773.7320023148</v>
      </c>
      <c r="AQ1605" s="1"/>
      <c r="AR1605" s="1" t="s">
        <v>280</v>
      </c>
      <c r="AS1605" s="1"/>
      <c r="AT1605" s="2">
        <v>44269.931099537</v>
      </c>
    </row>
    <row r="1606" ht="13.5" customHeight="1">
      <c r="A1606" s="1"/>
      <c r="B1606" s="1" t="s">
        <v>46</v>
      </c>
      <c r="C1606" s="1" t="s">
        <v>47</v>
      </c>
      <c r="D1606" s="1"/>
      <c r="E1606" s="1" t="s">
        <v>6676</v>
      </c>
      <c r="F1606" s="1"/>
      <c r="G1606" s="1"/>
      <c r="H1606" s="1" t="s">
        <v>50</v>
      </c>
      <c r="I1606" s="1">
        <v>201500.0</v>
      </c>
      <c r="J1606" s="1"/>
      <c r="K1606" s="1" t="s">
        <v>140</v>
      </c>
      <c r="L1606" s="1"/>
      <c r="M1606" s="1" t="s">
        <v>6677</v>
      </c>
      <c r="N1606" s="1" t="s">
        <v>123</v>
      </c>
      <c r="O1606" s="1" t="s">
        <v>73</v>
      </c>
      <c r="P1606" s="2">
        <v>43773.6337037037</v>
      </c>
      <c r="Q1606" s="1" t="s">
        <v>74</v>
      </c>
      <c r="R1606" s="3">
        <v>43775.0</v>
      </c>
      <c r="S1606" s="1"/>
      <c r="T1606" s="1">
        <v>5300108.0</v>
      </c>
      <c r="U1606" s="1" t="s">
        <v>1541</v>
      </c>
      <c r="V1606" s="1" t="s">
        <v>1542</v>
      </c>
      <c r="W1606" s="1" t="s">
        <v>177</v>
      </c>
      <c r="X1606" s="1"/>
      <c r="Y1606" s="1"/>
      <c r="Z1606" s="1" t="s">
        <v>76</v>
      </c>
      <c r="AA1606" s="1" t="s">
        <v>6678</v>
      </c>
      <c r="AB1606" s="1" t="str">
        <f>"***806431**"</f>
        <v>***806431**</v>
      </c>
      <c r="AC1606" s="1"/>
      <c r="AD1606" s="1" t="s">
        <v>62</v>
      </c>
      <c r="AE1606" s="1"/>
      <c r="AF1606" s="1">
        <v>-54.782776</v>
      </c>
      <c r="AG1606" s="1">
        <v>-11.0675</v>
      </c>
      <c r="AH1606" s="1" t="s">
        <v>6617</v>
      </c>
      <c r="AI1606" s="1"/>
      <c r="AJ1606" s="1" t="s">
        <v>172</v>
      </c>
      <c r="AK1606" s="1"/>
      <c r="AL1606" s="1"/>
      <c r="AM1606" s="1" t="s">
        <v>65</v>
      </c>
      <c r="AN1606" s="1" t="s">
        <v>2164</v>
      </c>
      <c r="AO1606" s="1"/>
      <c r="AP1606" s="2">
        <v>43773.643599537</v>
      </c>
      <c r="AQ1606" s="1"/>
      <c r="AR1606" s="1" t="s">
        <v>153</v>
      </c>
      <c r="AS1606" s="1"/>
      <c r="AT1606" s="2">
        <v>44269.931099537</v>
      </c>
    </row>
    <row r="1607" ht="13.5" customHeight="1">
      <c r="A1607" s="1">
        <v>2034677.0</v>
      </c>
      <c r="B1607" s="1" t="s">
        <v>67</v>
      </c>
      <c r="C1607" s="1" t="s">
        <v>68</v>
      </c>
      <c r="D1607" s="1" t="s">
        <v>46</v>
      </c>
      <c r="E1607" s="1" t="s">
        <v>6679</v>
      </c>
      <c r="F1607" s="1"/>
      <c r="G1607" s="1" t="s">
        <v>70</v>
      </c>
      <c r="H1607" s="1" t="s">
        <v>50</v>
      </c>
      <c r="I1607" s="1">
        <v>4500.0</v>
      </c>
      <c r="J1607" s="1"/>
      <c r="K1607" s="1"/>
      <c r="L1607" s="1" t="s">
        <v>264</v>
      </c>
      <c r="M1607" s="1" t="s">
        <v>6680</v>
      </c>
      <c r="N1607" s="1" t="s">
        <v>283</v>
      </c>
      <c r="O1607" s="1" t="s">
        <v>978</v>
      </c>
      <c r="P1607" s="2">
        <v>43773.5833333333</v>
      </c>
      <c r="Q1607" s="1" t="s">
        <v>55</v>
      </c>
      <c r="R1607" s="3">
        <v>43773.0</v>
      </c>
      <c r="S1607" s="1"/>
      <c r="T1607" s="1">
        <v>4203808.0</v>
      </c>
      <c r="U1607" s="1" t="s">
        <v>748</v>
      </c>
      <c r="V1607" s="1" t="s">
        <v>267</v>
      </c>
      <c r="W1607" s="1" t="s">
        <v>59</v>
      </c>
      <c r="X1607" s="1"/>
      <c r="Y1607" s="1" t="str">
        <f>"02026004115201929"</f>
        <v>02026004115201929</v>
      </c>
      <c r="Z1607" s="1" t="s">
        <v>980</v>
      </c>
      <c r="AA1607" s="1" t="s">
        <v>6681</v>
      </c>
      <c r="AB1607" s="1" t="str">
        <f>"81637431000165"</f>
        <v>81637431000165</v>
      </c>
      <c r="AC1607" s="1"/>
      <c r="AD1607" s="1"/>
      <c r="AE1607" s="1"/>
      <c r="AF1607" s="1">
        <v>-50.663612</v>
      </c>
      <c r="AG1607" s="1">
        <v>-26.217501</v>
      </c>
      <c r="AH1607" s="1" t="s">
        <v>6682</v>
      </c>
      <c r="AI1607" s="1"/>
      <c r="AJ1607" s="1" t="s">
        <v>264</v>
      </c>
      <c r="AK1607" s="1"/>
      <c r="AL1607" s="1" t="s">
        <v>79</v>
      </c>
      <c r="AM1607" s="1" t="s">
        <v>65</v>
      </c>
      <c r="AN1607" s="1" t="s">
        <v>6683</v>
      </c>
      <c r="AO1607" s="2">
        <v>43889.0</v>
      </c>
      <c r="AP1607" s="2">
        <v>43889.5263310185</v>
      </c>
      <c r="AQ1607" s="1" t="s">
        <v>80</v>
      </c>
      <c r="AR1607" s="1" t="s">
        <v>6447</v>
      </c>
      <c r="AS1607" s="1"/>
      <c r="AT1607" s="2">
        <v>44269.931099537</v>
      </c>
    </row>
    <row r="1608" ht="13.5" customHeight="1">
      <c r="A1608" s="1">
        <v>2035041.0</v>
      </c>
      <c r="B1608" s="1" t="s">
        <v>67</v>
      </c>
      <c r="C1608" s="1" t="s">
        <v>68</v>
      </c>
      <c r="D1608" s="1" t="s">
        <v>46</v>
      </c>
      <c r="E1608" s="1" t="s">
        <v>6684</v>
      </c>
      <c r="F1608" s="1"/>
      <c r="G1608" s="1" t="s">
        <v>70</v>
      </c>
      <c r="H1608" s="1" t="s">
        <v>50</v>
      </c>
      <c r="I1608" s="1">
        <v>60500.0</v>
      </c>
      <c r="J1608" s="1"/>
      <c r="K1608" s="1"/>
      <c r="L1608" s="1" t="s">
        <v>765</v>
      </c>
      <c r="M1608" s="1" t="s">
        <v>6685</v>
      </c>
      <c r="N1608" s="1" t="s">
        <v>72</v>
      </c>
      <c r="O1608" s="1" t="s">
        <v>213</v>
      </c>
      <c r="P1608" s="2">
        <v>43773.5833333333</v>
      </c>
      <c r="Q1608" s="1" t="s">
        <v>74</v>
      </c>
      <c r="R1608" s="3">
        <v>43774.0</v>
      </c>
      <c r="S1608" s="1"/>
      <c r="T1608" s="1">
        <v>1506005.0</v>
      </c>
      <c r="U1608" s="1" t="s">
        <v>1143</v>
      </c>
      <c r="V1608" s="1" t="s">
        <v>193</v>
      </c>
      <c r="W1608" s="1" t="s">
        <v>177</v>
      </c>
      <c r="X1608" s="1"/>
      <c r="Y1608" s="1" t="str">
        <f>"02048001992201990"</f>
        <v>02048001992201990</v>
      </c>
      <c r="Z1608" s="1" t="s">
        <v>215</v>
      </c>
      <c r="AA1608" s="1" t="s">
        <v>6560</v>
      </c>
      <c r="AB1608" s="1" t="str">
        <f>"***757602**"</f>
        <v>***757602**</v>
      </c>
      <c r="AC1608" s="1"/>
      <c r="AD1608" s="1"/>
      <c r="AE1608" s="1"/>
      <c r="AF1608" s="1">
        <v>-53.970554</v>
      </c>
      <c r="AG1608" s="1">
        <v>-2.619167</v>
      </c>
      <c r="AH1608" s="1" t="s">
        <v>6686</v>
      </c>
      <c r="AI1608" s="1"/>
      <c r="AJ1608" s="1" t="s">
        <v>765</v>
      </c>
      <c r="AK1608" s="1"/>
      <c r="AL1608" s="1" t="s">
        <v>79</v>
      </c>
      <c r="AM1608" s="1" t="s">
        <v>65</v>
      </c>
      <c r="AN1608" s="1" t="s">
        <v>1146</v>
      </c>
      <c r="AO1608" s="2">
        <v>43894.0</v>
      </c>
      <c r="AP1608" s="2">
        <v>43894.3834490741</v>
      </c>
      <c r="AQ1608" s="1" t="s">
        <v>80</v>
      </c>
      <c r="AR1608" s="1" t="s">
        <v>909</v>
      </c>
      <c r="AS1608" s="1"/>
      <c r="AT1608" s="2">
        <v>44269.931099537</v>
      </c>
    </row>
    <row r="1609" ht="13.5" customHeight="1">
      <c r="A1609" s="1"/>
      <c r="B1609" s="1" t="s">
        <v>46</v>
      </c>
      <c r="C1609" s="1" t="s">
        <v>47</v>
      </c>
      <c r="D1609" s="1"/>
      <c r="E1609" s="1" t="s">
        <v>6687</v>
      </c>
      <c r="F1609" s="1"/>
      <c r="G1609" s="1"/>
      <c r="H1609" s="1" t="s">
        <v>93</v>
      </c>
      <c r="I1609" s="1">
        <v>18000.0</v>
      </c>
      <c r="J1609" s="1"/>
      <c r="K1609" s="1"/>
      <c r="L1609" s="1"/>
      <c r="M1609" s="1" t="s">
        <v>6688</v>
      </c>
      <c r="N1609" s="1" t="s">
        <v>142</v>
      </c>
      <c r="O1609" s="1" t="s">
        <v>143</v>
      </c>
      <c r="P1609" s="2">
        <v>43773.5684143518</v>
      </c>
      <c r="Q1609" s="1" t="s">
        <v>373</v>
      </c>
      <c r="R1609" s="1"/>
      <c r="S1609" s="1"/>
      <c r="T1609" s="1">
        <v>2111052.0</v>
      </c>
      <c r="U1609" s="1" t="s">
        <v>6689</v>
      </c>
      <c r="V1609" s="1" t="s">
        <v>540</v>
      </c>
      <c r="W1609" s="1" t="s">
        <v>127</v>
      </c>
      <c r="X1609" s="1"/>
      <c r="Y1609" s="1"/>
      <c r="Z1609" s="1" t="s">
        <v>147</v>
      </c>
      <c r="AA1609" s="1" t="s">
        <v>6690</v>
      </c>
      <c r="AB1609" s="1" t="str">
        <f>"***269518**"</f>
        <v>***269518**</v>
      </c>
      <c r="AC1609" s="1"/>
      <c r="AD1609" s="1" t="s">
        <v>116</v>
      </c>
      <c r="AE1609" s="1"/>
      <c r="AF1609" s="1">
        <v>-46.749168</v>
      </c>
      <c r="AG1609" s="1">
        <v>-6.348611</v>
      </c>
      <c r="AH1609" s="1" t="s">
        <v>6691</v>
      </c>
      <c r="AI1609" s="1"/>
      <c r="AJ1609" s="1" t="s">
        <v>537</v>
      </c>
      <c r="AK1609" s="1"/>
      <c r="AL1609" s="1"/>
      <c r="AM1609" s="1" t="s">
        <v>65</v>
      </c>
      <c r="AN1609" s="1" t="s">
        <v>4203</v>
      </c>
      <c r="AO1609" s="1"/>
      <c r="AP1609" s="2">
        <v>43773.5784722222</v>
      </c>
      <c r="AQ1609" s="1"/>
      <c r="AR1609" s="1" t="s">
        <v>6692</v>
      </c>
      <c r="AS1609" s="1"/>
      <c r="AT1609" s="2">
        <v>44269.931099537</v>
      </c>
    </row>
    <row r="1610" ht="13.5" customHeight="1">
      <c r="A1610" s="1">
        <v>2041500.0</v>
      </c>
      <c r="B1610" s="1" t="s">
        <v>67</v>
      </c>
      <c r="C1610" s="1" t="s">
        <v>68</v>
      </c>
      <c r="D1610" s="1" t="s">
        <v>46</v>
      </c>
      <c r="E1610" s="1" t="s">
        <v>6693</v>
      </c>
      <c r="F1610" s="1"/>
      <c r="G1610" s="1" t="s">
        <v>70</v>
      </c>
      <c r="H1610" s="1" t="s">
        <v>93</v>
      </c>
      <c r="I1610" s="1">
        <v>530.0</v>
      </c>
      <c r="J1610" s="1"/>
      <c r="K1610" s="1"/>
      <c r="L1610" s="1" t="s">
        <v>3673</v>
      </c>
      <c r="M1610" s="1" t="s">
        <v>6694</v>
      </c>
      <c r="N1610" s="1" t="s">
        <v>95</v>
      </c>
      <c r="O1610" s="1"/>
      <c r="P1610" s="2">
        <v>43773.5541666667</v>
      </c>
      <c r="Q1610" s="1" t="s">
        <v>373</v>
      </c>
      <c r="R1610" s="1"/>
      <c r="S1610" s="1"/>
      <c r="T1610" s="1">
        <v>5300108.0</v>
      </c>
      <c r="U1610" s="1" t="s">
        <v>1541</v>
      </c>
      <c r="V1610" s="1" t="s">
        <v>1542</v>
      </c>
      <c r="W1610" s="1" t="s">
        <v>127</v>
      </c>
      <c r="X1610" s="1"/>
      <c r="Y1610" s="1" t="str">
        <f>"02001036436201971"</f>
        <v>02001036436201971</v>
      </c>
      <c r="Z1610" s="1" t="s">
        <v>98</v>
      </c>
      <c r="AA1610" s="1" t="s">
        <v>6695</v>
      </c>
      <c r="AB1610" s="1" t="str">
        <f>"***097191**"</f>
        <v>***097191**</v>
      </c>
      <c r="AC1610" s="1"/>
      <c r="AD1610" s="1" t="s">
        <v>116</v>
      </c>
      <c r="AE1610" s="1"/>
      <c r="AF1610" s="1">
        <v>-47.876944</v>
      </c>
      <c r="AG1610" s="1">
        <v>-15.710278</v>
      </c>
      <c r="AH1610" s="1" t="s">
        <v>6696</v>
      </c>
      <c r="AI1610" s="1"/>
      <c r="AJ1610" s="1"/>
      <c r="AK1610" s="1"/>
      <c r="AL1610" s="1" t="s">
        <v>118</v>
      </c>
      <c r="AM1610" s="1"/>
      <c r="AN1610" s="1"/>
      <c r="AO1610" s="2">
        <v>44167.4447569444</v>
      </c>
      <c r="AP1610" s="2">
        <v>44167.4447569444</v>
      </c>
      <c r="AQ1610" s="1" t="s">
        <v>80</v>
      </c>
      <c r="AR1610" s="1" t="s">
        <v>6697</v>
      </c>
      <c r="AS1610" s="1"/>
      <c r="AT1610" s="2">
        <v>44269.931099537</v>
      </c>
    </row>
    <row r="1611" ht="13.5" customHeight="1">
      <c r="A1611" s="1"/>
      <c r="B1611" s="1" t="s">
        <v>46</v>
      </c>
      <c r="C1611" s="1" t="s">
        <v>47</v>
      </c>
      <c r="D1611" s="1"/>
      <c r="E1611" s="1" t="s">
        <v>6698</v>
      </c>
      <c r="F1611" s="1"/>
      <c r="G1611" s="1" t="s">
        <v>5034</v>
      </c>
      <c r="H1611" s="1" t="s">
        <v>50</v>
      </c>
      <c r="I1611" s="1">
        <v>500.0</v>
      </c>
      <c r="J1611" s="1"/>
      <c r="K1611" s="1" t="s">
        <v>51</v>
      </c>
      <c r="L1611" s="1"/>
      <c r="M1611" s="1" t="s">
        <v>6699</v>
      </c>
      <c r="N1611" s="1" t="s">
        <v>977</v>
      </c>
      <c r="O1611" s="1" t="s">
        <v>978</v>
      </c>
      <c r="P1611" s="2">
        <v>43773.5433217593</v>
      </c>
      <c r="Q1611" s="1" t="s">
        <v>74</v>
      </c>
      <c r="R1611" s="3">
        <v>43773.0</v>
      </c>
      <c r="S1611" s="1"/>
      <c r="T1611" s="1">
        <v>3509502.0</v>
      </c>
      <c r="U1611" s="1" t="s">
        <v>97</v>
      </c>
      <c r="V1611" s="1" t="s">
        <v>58</v>
      </c>
      <c r="W1611" s="1" t="s">
        <v>59</v>
      </c>
      <c r="X1611" s="1"/>
      <c r="Y1611" s="1"/>
      <c r="Z1611" s="1" t="s">
        <v>980</v>
      </c>
      <c r="AA1611" s="1" t="s">
        <v>6700</v>
      </c>
      <c r="AB1611" s="1" t="str">
        <f>"***141528**"</f>
        <v>***141528**</v>
      </c>
      <c r="AC1611" s="1"/>
      <c r="AD1611" s="1" t="s">
        <v>62</v>
      </c>
      <c r="AE1611" s="1"/>
      <c r="AF1611" s="1">
        <v>-47.146114</v>
      </c>
      <c r="AG1611" s="1">
        <v>-23.010279</v>
      </c>
      <c r="AH1611" s="1" t="s">
        <v>3528</v>
      </c>
      <c r="AI1611" s="1"/>
      <c r="AJ1611" s="1" t="s">
        <v>64</v>
      </c>
      <c r="AK1611" s="1"/>
      <c r="AL1611" s="1"/>
      <c r="AM1611" s="1" t="s">
        <v>65</v>
      </c>
      <c r="AN1611" s="1" t="s">
        <v>102</v>
      </c>
      <c r="AO1611" s="1"/>
      <c r="AP1611" s="2">
        <v>44000.476400463</v>
      </c>
      <c r="AQ1611" s="1"/>
      <c r="AR1611" s="1" t="s">
        <v>6701</v>
      </c>
      <c r="AS1611" s="1"/>
      <c r="AT1611" s="2">
        <v>44269.931099537</v>
      </c>
    </row>
    <row r="1612" ht="13.5" customHeight="1">
      <c r="A1612" s="1">
        <v>2034678.0</v>
      </c>
      <c r="B1612" s="1" t="s">
        <v>67</v>
      </c>
      <c r="C1612" s="1" t="s">
        <v>68</v>
      </c>
      <c r="D1612" s="1" t="s">
        <v>46</v>
      </c>
      <c r="E1612" s="1" t="s">
        <v>6702</v>
      </c>
      <c r="F1612" s="1"/>
      <c r="G1612" s="1" t="s">
        <v>70</v>
      </c>
      <c r="H1612" s="1" t="s">
        <v>93</v>
      </c>
      <c r="I1612" s="1">
        <v>105000.0</v>
      </c>
      <c r="J1612" s="1"/>
      <c r="K1612" s="1"/>
      <c r="L1612" s="1" t="s">
        <v>264</v>
      </c>
      <c r="M1612" s="1" t="s">
        <v>6703</v>
      </c>
      <c r="N1612" s="1" t="s">
        <v>142</v>
      </c>
      <c r="O1612" s="1" t="s">
        <v>143</v>
      </c>
      <c r="P1612" s="2">
        <v>43773.5416666667</v>
      </c>
      <c r="Q1612" s="1" t="s">
        <v>55</v>
      </c>
      <c r="R1612" s="3">
        <v>43773.0</v>
      </c>
      <c r="S1612" s="1"/>
      <c r="T1612" s="1">
        <v>4203808.0</v>
      </c>
      <c r="U1612" s="1" t="s">
        <v>748</v>
      </c>
      <c r="V1612" s="1" t="s">
        <v>267</v>
      </c>
      <c r="W1612" s="1" t="s">
        <v>59</v>
      </c>
      <c r="X1612" s="1"/>
      <c r="Y1612" s="1"/>
      <c r="Z1612" s="1" t="s">
        <v>147</v>
      </c>
      <c r="AA1612" s="1" t="s">
        <v>6681</v>
      </c>
      <c r="AB1612" s="1" t="str">
        <f>"81637431000165"</f>
        <v>81637431000165</v>
      </c>
      <c r="AC1612" s="1"/>
      <c r="AD1612" s="1"/>
      <c r="AE1612" s="1"/>
      <c r="AF1612" s="1">
        <v>-50.663612</v>
      </c>
      <c r="AG1612" s="1">
        <v>-26.217501</v>
      </c>
      <c r="AH1612" s="1" t="s">
        <v>6704</v>
      </c>
      <c r="AI1612" s="1"/>
      <c r="AJ1612" s="1" t="s">
        <v>264</v>
      </c>
      <c r="AK1612" s="1"/>
      <c r="AL1612" s="1" t="s">
        <v>79</v>
      </c>
      <c r="AM1612" s="1" t="s">
        <v>65</v>
      </c>
      <c r="AN1612" s="1" t="s">
        <v>6683</v>
      </c>
      <c r="AO1612" s="2">
        <v>43889.0</v>
      </c>
      <c r="AP1612" s="2">
        <v>43889.526412037</v>
      </c>
      <c r="AQ1612" s="1" t="s">
        <v>80</v>
      </c>
      <c r="AR1612" s="1" t="s">
        <v>3494</v>
      </c>
      <c r="AS1612" s="1"/>
      <c r="AT1612" s="2">
        <v>44269.931099537</v>
      </c>
    </row>
    <row r="1613" ht="13.5" customHeight="1">
      <c r="A1613" s="1"/>
      <c r="B1613" s="1" t="s">
        <v>46</v>
      </c>
      <c r="C1613" s="1" t="s">
        <v>47</v>
      </c>
      <c r="D1613" s="1"/>
      <c r="E1613" s="1" t="s">
        <v>6705</v>
      </c>
      <c r="F1613" s="1"/>
      <c r="G1613" s="1"/>
      <c r="H1613" s="1" t="s">
        <v>93</v>
      </c>
      <c r="I1613" s="1">
        <v>1800.0</v>
      </c>
      <c r="J1613" s="1"/>
      <c r="K1613" s="1"/>
      <c r="L1613" s="1"/>
      <c r="M1613" s="1" t="s">
        <v>6706</v>
      </c>
      <c r="N1613" s="1" t="s">
        <v>142</v>
      </c>
      <c r="O1613" s="1" t="s">
        <v>143</v>
      </c>
      <c r="P1613" s="2">
        <v>43773.5386458333</v>
      </c>
      <c r="Q1613" s="1" t="s">
        <v>373</v>
      </c>
      <c r="R1613" s="1"/>
      <c r="S1613" s="1"/>
      <c r="T1613" s="1">
        <v>2111052.0</v>
      </c>
      <c r="U1613" s="1" t="s">
        <v>6689</v>
      </c>
      <c r="V1613" s="1" t="s">
        <v>540</v>
      </c>
      <c r="W1613" s="1" t="s">
        <v>127</v>
      </c>
      <c r="X1613" s="1"/>
      <c r="Y1613" s="1"/>
      <c r="Z1613" s="1" t="s">
        <v>147</v>
      </c>
      <c r="AA1613" s="1" t="s">
        <v>6690</v>
      </c>
      <c r="AB1613" s="1" t="str">
        <f>"***269518**"</f>
        <v>***269518**</v>
      </c>
      <c r="AC1613" s="1"/>
      <c r="AD1613" s="1" t="s">
        <v>116</v>
      </c>
      <c r="AE1613" s="1"/>
      <c r="AF1613" s="1">
        <v>-46.749168</v>
      </c>
      <c r="AG1613" s="1">
        <v>-6.348611</v>
      </c>
      <c r="AH1613" s="1" t="s">
        <v>6707</v>
      </c>
      <c r="AI1613" s="1"/>
      <c r="AJ1613" s="1" t="s">
        <v>537</v>
      </c>
      <c r="AK1613" s="1"/>
      <c r="AL1613" s="1"/>
      <c r="AM1613" s="1" t="s">
        <v>65</v>
      </c>
      <c r="AN1613" s="1" t="s">
        <v>4203</v>
      </c>
      <c r="AO1613" s="1"/>
      <c r="AP1613" s="2">
        <v>43773.5498842593</v>
      </c>
      <c r="AQ1613" s="1"/>
      <c r="AR1613" s="1" t="s">
        <v>3478</v>
      </c>
      <c r="AS1613" s="1"/>
      <c r="AT1613" s="2">
        <v>44269.931099537</v>
      </c>
    </row>
    <row r="1614" ht="13.5" customHeight="1">
      <c r="A1614" s="1"/>
      <c r="B1614" s="1" t="s">
        <v>46</v>
      </c>
      <c r="C1614" s="1" t="s">
        <v>47</v>
      </c>
      <c r="D1614" s="1"/>
      <c r="E1614" s="1" t="s">
        <v>6708</v>
      </c>
      <c r="F1614" s="1"/>
      <c r="G1614" s="1"/>
      <c r="H1614" s="1" t="s">
        <v>93</v>
      </c>
      <c r="I1614" s="1">
        <v>237.6</v>
      </c>
      <c r="J1614" s="1"/>
      <c r="K1614" s="1"/>
      <c r="L1614" s="1"/>
      <c r="M1614" s="1" t="s">
        <v>6709</v>
      </c>
      <c r="N1614" s="1" t="s">
        <v>142</v>
      </c>
      <c r="O1614" s="1" t="s">
        <v>143</v>
      </c>
      <c r="P1614" s="2">
        <v>43773.534525463</v>
      </c>
      <c r="Q1614" s="1" t="s">
        <v>373</v>
      </c>
      <c r="R1614" s="1"/>
      <c r="S1614" s="1"/>
      <c r="T1614" s="1">
        <v>2707701.0</v>
      </c>
      <c r="U1614" s="1" t="s">
        <v>6710</v>
      </c>
      <c r="V1614" s="1" t="s">
        <v>1254</v>
      </c>
      <c r="W1614" s="1" t="s">
        <v>59</v>
      </c>
      <c r="X1614" s="1"/>
      <c r="Y1614" s="1"/>
      <c r="Z1614" s="1" t="s">
        <v>147</v>
      </c>
      <c r="AA1614" s="1" t="s">
        <v>6711</v>
      </c>
      <c r="AB1614" s="1" t="str">
        <f>"***341374**"</f>
        <v>***341374**</v>
      </c>
      <c r="AC1614" s="1"/>
      <c r="AD1614" s="1" t="s">
        <v>62</v>
      </c>
      <c r="AE1614" s="1"/>
      <c r="AF1614" s="1">
        <v>-35.926113</v>
      </c>
      <c r="AG1614" s="1">
        <v>-9.509167</v>
      </c>
      <c r="AH1614" s="1" t="s">
        <v>6712</v>
      </c>
      <c r="AI1614" s="1"/>
      <c r="AJ1614" s="1" t="s">
        <v>1251</v>
      </c>
      <c r="AK1614" s="1"/>
      <c r="AL1614" s="1"/>
      <c r="AM1614" s="1" t="s">
        <v>65</v>
      </c>
      <c r="AN1614" s="1"/>
      <c r="AO1614" s="1"/>
      <c r="AP1614" s="2">
        <v>43773.569849537</v>
      </c>
      <c r="AQ1614" s="1"/>
      <c r="AR1614" s="1" t="s">
        <v>6713</v>
      </c>
      <c r="AS1614" s="1"/>
      <c r="AT1614" s="2">
        <v>44269.931099537</v>
      </c>
    </row>
    <row r="1615" ht="13.5" customHeight="1">
      <c r="A1615" s="1">
        <v>1930755.0</v>
      </c>
      <c r="B1615" s="1" t="s">
        <v>67</v>
      </c>
      <c r="C1615" s="1" t="s">
        <v>68</v>
      </c>
      <c r="D1615" s="1" t="s">
        <v>46</v>
      </c>
      <c r="E1615" s="1">
        <v>9158484.0</v>
      </c>
      <c r="F1615" s="1" t="s">
        <v>1293</v>
      </c>
      <c r="G1615" s="1" t="s">
        <v>70</v>
      </c>
      <c r="H1615" s="1" t="s">
        <v>93</v>
      </c>
      <c r="I1615" s="1">
        <v>4002.41</v>
      </c>
      <c r="J1615" s="1"/>
      <c r="K1615" s="1"/>
      <c r="L1615" s="1" t="s">
        <v>167</v>
      </c>
      <c r="M1615" s="1" t="s">
        <v>6714</v>
      </c>
      <c r="N1615" s="1" t="s">
        <v>142</v>
      </c>
      <c r="O1615" s="1"/>
      <c r="P1615" s="2">
        <v>43773.4715277778</v>
      </c>
      <c r="Q1615" s="1" t="s">
        <v>373</v>
      </c>
      <c r="R1615" s="3">
        <v>43773.0</v>
      </c>
      <c r="S1615" s="1"/>
      <c r="T1615" s="1">
        <v>5105150.0</v>
      </c>
      <c r="U1615" s="1" t="s">
        <v>5635</v>
      </c>
      <c r="V1615" s="1" t="s">
        <v>164</v>
      </c>
      <c r="W1615" s="1" t="s">
        <v>177</v>
      </c>
      <c r="X1615" s="1"/>
      <c r="Y1615" s="1" t="str">
        <f>"02055001220201969"</f>
        <v>02055001220201969</v>
      </c>
      <c r="Z1615" s="1" t="s">
        <v>147</v>
      </c>
      <c r="AA1615" s="1" t="s">
        <v>6715</v>
      </c>
      <c r="AB1615" s="1" t="str">
        <f>"***720891**"</f>
        <v>***720891**</v>
      </c>
      <c r="AC1615" s="1"/>
      <c r="AD1615" s="1" t="s">
        <v>116</v>
      </c>
      <c r="AE1615" s="1"/>
      <c r="AF1615" s="1">
        <v>-58.872222</v>
      </c>
      <c r="AG1615" s="1">
        <v>-11.553889</v>
      </c>
      <c r="AH1615" s="1" t="s">
        <v>6716</v>
      </c>
      <c r="AI1615" s="1"/>
      <c r="AJ1615" s="1" t="s">
        <v>65</v>
      </c>
      <c r="AK1615" s="1"/>
      <c r="AL1615" s="1" t="s">
        <v>118</v>
      </c>
      <c r="AM1615" s="1"/>
      <c r="AN1615" s="1"/>
      <c r="AO1615" s="2">
        <v>42880.6947222222</v>
      </c>
      <c r="AP1615" s="2">
        <v>43892.4030324074</v>
      </c>
      <c r="AQ1615" s="1" t="s">
        <v>80</v>
      </c>
      <c r="AR1615" s="1" t="s">
        <v>6717</v>
      </c>
      <c r="AS1615" s="1"/>
      <c r="AT1615" s="2">
        <v>44269.931099537</v>
      </c>
    </row>
    <row r="1616" ht="13.5" customHeight="1">
      <c r="A1616" s="1">
        <v>2040786.0</v>
      </c>
      <c r="B1616" s="1" t="s">
        <v>67</v>
      </c>
      <c r="C1616" s="1" t="s">
        <v>68</v>
      </c>
      <c r="D1616" s="1" t="s">
        <v>46</v>
      </c>
      <c r="E1616" s="1" t="s">
        <v>6718</v>
      </c>
      <c r="F1616" s="1"/>
      <c r="G1616" s="1" t="s">
        <v>70</v>
      </c>
      <c r="H1616" s="1" t="s">
        <v>50</v>
      </c>
      <c r="I1616" s="1">
        <v>1000.0</v>
      </c>
      <c r="J1616" s="1"/>
      <c r="K1616" s="1"/>
      <c r="L1616" s="1" t="s">
        <v>64</v>
      </c>
      <c r="M1616" s="1" t="s">
        <v>6378</v>
      </c>
      <c r="N1616" s="1" t="s">
        <v>72</v>
      </c>
      <c r="O1616" s="1" t="s">
        <v>73</v>
      </c>
      <c r="P1616" s="2">
        <v>43773.4583333333</v>
      </c>
      <c r="Q1616" s="1" t="s">
        <v>74</v>
      </c>
      <c r="R1616" s="3">
        <v>43787.0</v>
      </c>
      <c r="S1616" s="1"/>
      <c r="T1616" s="1">
        <v>3509502.0</v>
      </c>
      <c r="U1616" s="1" t="s">
        <v>97</v>
      </c>
      <c r="V1616" s="1" t="s">
        <v>58</v>
      </c>
      <c r="W1616" s="1" t="s">
        <v>59</v>
      </c>
      <c r="X1616" s="1"/>
      <c r="Y1616" s="1" t="str">
        <f>"02027002654202057"</f>
        <v>02027002654202057</v>
      </c>
      <c r="Z1616" s="1" t="s">
        <v>76</v>
      </c>
      <c r="AA1616" s="1" t="s">
        <v>6719</v>
      </c>
      <c r="AB1616" s="1" t="str">
        <f t="shared" ref="AB1616:AB1617" si="97">"***141528**"</f>
        <v>***141528**</v>
      </c>
      <c r="AC1616" s="1"/>
      <c r="AD1616" s="1"/>
      <c r="AE1616" s="1"/>
      <c r="AF1616" s="1">
        <v>-47.146114</v>
      </c>
      <c r="AG1616" s="1">
        <v>-23.010279</v>
      </c>
      <c r="AH1616" s="1" t="s">
        <v>3528</v>
      </c>
      <c r="AI1616" s="1"/>
      <c r="AJ1616" s="1" t="s">
        <v>64</v>
      </c>
      <c r="AK1616" s="1"/>
      <c r="AL1616" s="1" t="s">
        <v>79</v>
      </c>
      <c r="AM1616" s="1" t="s">
        <v>65</v>
      </c>
      <c r="AN1616" s="1" t="s">
        <v>102</v>
      </c>
      <c r="AO1616" s="2">
        <v>44139.0</v>
      </c>
      <c r="AP1616" s="2">
        <v>44139.4501273148</v>
      </c>
      <c r="AQ1616" s="1" t="s">
        <v>80</v>
      </c>
      <c r="AR1616" s="1" t="s">
        <v>1072</v>
      </c>
      <c r="AS1616" s="1"/>
      <c r="AT1616" s="2">
        <v>44269.931099537</v>
      </c>
    </row>
    <row r="1617" ht="13.5" customHeight="1">
      <c r="A1617" s="1">
        <v>2040789.0</v>
      </c>
      <c r="B1617" s="1" t="s">
        <v>67</v>
      </c>
      <c r="C1617" s="1" t="s">
        <v>68</v>
      </c>
      <c r="D1617" s="1" t="s">
        <v>46</v>
      </c>
      <c r="E1617" s="1" t="s">
        <v>6720</v>
      </c>
      <c r="F1617" s="1"/>
      <c r="G1617" s="1" t="s">
        <v>70</v>
      </c>
      <c r="H1617" s="1" t="s">
        <v>50</v>
      </c>
      <c r="I1617" s="1">
        <v>100.0</v>
      </c>
      <c r="J1617" s="1"/>
      <c r="K1617" s="1"/>
      <c r="L1617" s="1" t="s">
        <v>64</v>
      </c>
      <c r="M1617" s="1" t="s">
        <v>6721</v>
      </c>
      <c r="N1617" s="1" t="s">
        <v>283</v>
      </c>
      <c r="O1617" s="1" t="s">
        <v>978</v>
      </c>
      <c r="P1617" s="2">
        <v>43773.4583333333</v>
      </c>
      <c r="Q1617" s="1" t="s">
        <v>74</v>
      </c>
      <c r="R1617" s="3">
        <v>43787.0</v>
      </c>
      <c r="S1617" s="1"/>
      <c r="T1617" s="1">
        <v>3509502.0</v>
      </c>
      <c r="U1617" s="1" t="s">
        <v>97</v>
      </c>
      <c r="V1617" s="1" t="s">
        <v>58</v>
      </c>
      <c r="W1617" s="1" t="s">
        <v>59</v>
      </c>
      <c r="X1617" s="1"/>
      <c r="Y1617" s="1" t="str">
        <f>"02027002655202000"</f>
        <v>02027002655202000</v>
      </c>
      <c r="Z1617" s="1" t="s">
        <v>980</v>
      </c>
      <c r="AA1617" s="1" t="s">
        <v>6719</v>
      </c>
      <c r="AB1617" s="1" t="str">
        <f t="shared" si="97"/>
        <v>***141528**</v>
      </c>
      <c r="AC1617" s="1"/>
      <c r="AD1617" s="1"/>
      <c r="AE1617" s="1"/>
      <c r="AF1617" s="1">
        <v>-47.146114</v>
      </c>
      <c r="AG1617" s="1">
        <v>-23.010279</v>
      </c>
      <c r="AH1617" s="1" t="s">
        <v>3528</v>
      </c>
      <c r="AI1617" s="1"/>
      <c r="AJ1617" s="1" t="s">
        <v>64</v>
      </c>
      <c r="AK1617" s="1"/>
      <c r="AL1617" s="1" t="s">
        <v>79</v>
      </c>
      <c r="AM1617" s="1" t="s">
        <v>65</v>
      </c>
      <c r="AN1617" s="1" t="s">
        <v>102</v>
      </c>
      <c r="AO1617" s="2">
        <v>44139.0</v>
      </c>
      <c r="AP1617" s="2">
        <v>44139.4607060185</v>
      </c>
      <c r="AQ1617" s="1" t="s">
        <v>80</v>
      </c>
      <c r="AR1617" s="1" t="s">
        <v>6447</v>
      </c>
      <c r="AS1617" s="1"/>
      <c r="AT1617" s="2">
        <v>44269.931099537</v>
      </c>
    </row>
    <row r="1618" ht="13.5" customHeight="1">
      <c r="A1618" s="1">
        <v>2035039.0</v>
      </c>
      <c r="B1618" s="1" t="s">
        <v>67</v>
      </c>
      <c r="C1618" s="1" t="s">
        <v>68</v>
      </c>
      <c r="D1618" s="1" t="s">
        <v>46</v>
      </c>
      <c r="E1618" s="1" t="s">
        <v>6722</v>
      </c>
      <c r="F1618" s="1"/>
      <c r="G1618" s="1" t="s">
        <v>70</v>
      </c>
      <c r="H1618" s="1" t="s">
        <v>93</v>
      </c>
      <c r="I1618" s="1">
        <v>2160000.0</v>
      </c>
      <c r="J1618" s="1"/>
      <c r="K1618" s="1"/>
      <c r="L1618" s="1" t="s">
        <v>765</v>
      </c>
      <c r="M1618" s="1" t="s">
        <v>6723</v>
      </c>
      <c r="N1618" s="1" t="s">
        <v>142</v>
      </c>
      <c r="O1618" s="1" t="s">
        <v>143</v>
      </c>
      <c r="P1618" s="2">
        <v>43773.375</v>
      </c>
      <c r="Q1618" s="1" t="s">
        <v>74</v>
      </c>
      <c r="R1618" s="3">
        <v>43774.0</v>
      </c>
      <c r="S1618" s="1"/>
      <c r="T1618" s="1">
        <v>1506005.0</v>
      </c>
      <c r="U1618" s="1" t="s">
        <v>1143</v>
      </c>
      <c r="V1618" s="1" t="s">
        <v>193</v>
      </c>
      <c r="W1618" s="1" t="s">
        <v>177</v>
      </c>
      <c r="X1618" s="1"/>
      <c r="Y1618" s="1" t="str">
        <f>"02048002002201931"</f>
        <v>02048002002201931</v>
      </c>
      <c r="Z1618" s="1" t="s">
        <v>147</v>
      </c>
      <c r="AA1618" s="1" t="s">
        <v>6724</v>
      </c>
      <c r="AB1618" s="1" t="str">
        <f>"83913525000145"</f>
        <v>83913525000145</v>
      </c>
      <c r="AC1618" s="1"/>
      <c r="AD1618" s="1"/>
      <c r="AE1618" s="1"/>
      <c r="AF1618" s="1">
        <v>-53.970554</v>
      </c>
      <c r="AG1618" s="1">
        <v>-2.619167</v>
      </c>
      <c r="AH1618" s="1" t="s">
        <v>6725</v>
      </c>
      <c r="AI1618" s="1"/>
      <c r="AJ1618" s="1" t="s">
        <v>765</v>
      </c>
      <c r="AK1618" s="1"/>
      <c r="AL1618" s="1" t="s">
        <v>79</v>
      </c>
      <c r="AM1618" s="1" t="s">
        <v>65</v>
      </c>
      <c r="AN1618" s="1" t="s">
        <v>1146</v>
      </c>
      <c r="AO1618" s="2">
        <v>43894.0</v>
      </c>
      <c r="AP1618" s="2">
        <v>43894.3832060185</v>
      </c>
      <c r="AQ1618" s="1" t="s">
        <v>80</v>
      </c>
      <c r="AR1618" s="1" t="s">
        <v>650</v>
      </c>
      <c r="AS1618" s="1"/>
      <c r="AT1618" s="2">
        <v>44269.931099537</v>
      </c>
    </row>
    <row r="1619" ht="13.5" customHeight="1">
      <c r="A1619" s="1">
        <v>2038965.0</v>
      </c>
      <c r="B1619" s="1" t="s">
        <v>67</v>
      </c>
      <c r="C1619" s="1" t="s">
        <v>68</v>
      </c>
      <c r="D1619" s="1" t="s">
        <v>46</v>
      </c>
      <c r="E1619" s="1" t="s">
        <v>6726</v>
      </c>
      <c r="F1619" s="1"/>
      <c r="G1619" s="1" t="s">
        <v>70</v>
      </c>
      <c r="H1619" s="1" t="s">
        <v>93</v>
      </c>
      <c r="I1619" s="1">
        <v>22500.0</v>
      </c>
      <c r="J1619" s="1"/>
      <c r="K1619" s="1"/>
      <c r="L1619" s="1" t="s">
        <v>1040</v>
      </c>
      <c r="M1619" s="1" t="s">
        <v>6727</v>
      </c>
      <c r="N1619" s="1" t="s">
        <v>142</v>
      </c>
      <c r="O1619" s="1" t="s">
        <v>143</v>
      </c>
      <c r="P1619" s="2">
        <v>43773.375</v>
      </c>
      <c r="Q1619" s="1" t="s">
        <v>55</v>
      </c>
      <c r="R1619" s="1"/>
      <c r="S1619" s="1"/>
      <c r="T1619" s="1">
        <v>2615607.0</v>
      </c>
      <c r="U1619" s="1" t="s">
        <v>5422</v>
      </c>
      <c r="V1619" s="1" t="s">
        <v>1037</v>
      </c>
      <c r="W1619" s="1" t="s">
        <v>113</v>
      </c>
      <c r="X1619" s="1"/>
      <c r="Y1619" s="1" t="str">
        <f>"02019003434201914"</f>
        <v>02019003434201914</v>
      </c>
      <c r="Z1619" s="1" t="s">
        <v>147</v>
      </c>
      <c r="AA1619" s="1" t="s">
        <v>6728</v>
      </c>
      <c r="AB1619" s="1" t="str">
        <f>"19721300000198"</f>
        <v>19721300000198</v>
      </c>
      <c r="AC1619" s="1"/>
      <c r="AD1619" s="1" t="s">
        <v>116</v>
      </c>
      <c r="AE1619" s="1"/>
      <c r="AF1619" s="1">
        <v>-40.249722</v>
      </c>
      <c r="AG1619" s="1">
        <v>-7.739167</v>
      </c>
      <c r="AH1619" s="1" t="s">
        <v>6729</v>
      </c>
      <c r="AI1619" s="1"/>
      <c r="AJ1619" s="1" t="s">
        <v>1040</v>
      </c>
      <c r="AK1619" s="1" t="s">
        <v>1279</v>
      </c>
      <c r="AL1619" s="1" t="s">
        <v>79</v>
      </c>
      <c r="AM1619" s="1" t="s">
        <v>65</v>
      </c>
      <c r="AN1619" s="1" t="s">
        <v>1279</v>
      </c>
      <c r="AO1619" s="2">
        <v>44050.0</v>
      </c>
      <c r="AP1619" s="2">
        <v>44215.7397685185</v>
      </c>
      <c r="AQ1619" s="1" t="s">
        <v>80</v>
      </c>
      <c r="AR1619" s="1" t="s">
        <v>6730</v>
      </c>
      <c r="AS1619" s="1" t="s">
        <v>6731</v>
      </c>
      <c r="AT1619" s="2">
        <v>44269.931099537</v>
      </c>
    </row>
    <row r="1620" ht="13.5" customHeight="1">
      <c r="A1620" s="1">
        <v>2042687.0</v>
      </c>
      <c r="B1620" s="1" t="s">
        <v>67</v>
      </c>
      <c r="C1620" s="1" t="s">
        <v>68</v>
      </c>
      <c r="D1620" s="1" t="s">
        <v>46</v>
      </c>
      <c r="E1620" s="1" t="s">
        <v>6732</v>
      </c>
      <c r="F1620" s="1"/>
      <c r="G1620" s="1" t="s">
        <v>70</v>
      </c>
      <c r="H1620" s="1" t="s">
        <v>50</v>
      </c>
      <c r="I1620" s="1">
        <v>500.0</v>
      </c>
      <c r="J1620" s="1"/>
      <c r="K1620" s="1"/>
      <c r="L1620" s="1" t="s">
        <v>1040</v>
      </c>
      <c r="M1620" s="1" t="s">
        <v>6733</v>
      </c>
      <c r="N1620" s="1" t="s">
        <v>72</v>
      </c>
      <c r="O1620" s="1" t="s">
        <v>213</v>
      </c>
      <c r="P1620" s="2">
        <v>43771.5416666667</v>
      </c>
      <c r="Q1620" s="1" t="s">
        <v>55</v>
      </c>
      <c r="R1620" s="1"/>
      <c r="S1620" s="1"/>
      <c r="T1620" s="1">
        <v>2609907.0</v>
      </c>
      <c r="U1620" s="1" t="s">
        <v>6439</v>
      </c>
      <c r="V1620" s="1" t="s">
        <v>1037</v>
      </c>
      <c r="W1620" s="1" t="s">
        <v>113</v>
      </c>
      <c r="X1620" s="1"/>
      <c r="Y1620" s="1" t="str">
        <f>"02019000201202095"</f>
        <v>02019000201202095</v>
      </c>
      <c r="Z1620" s="1" t="s">
        <v>215</v>
      </c>
      <c r="AA1620" s="1" t="s">
        <v>6734</v>
      </c>
      <c r="AB1620" s="1" t="str">
        <f>"00541663000113"</f>
        <v>00541663000113</v>
      </c>
      <c r="AC1620" s="1"/>
      <c r="AD1620" s="1"/>
      <c r="AE1620" s="1"/>
      <c r="AF1620" s="1">
        <v>-40.117619</v>
      </c>
      <c r="AG1620" s="1">
        <v>-7.972445</v>
      </c>
      <c r="AH1620" s="1" t="s">
        <v>6735</v>
      </c>
      <c r="AI1620" s="1"/>
      <c r="AJ1620" s="1" t="s">
        <v>1040</v>
      </c>
      <c r="AK1620" s="1"/>
      <c r="AL1620" s="1" t="s">
        <v>79</v>
      </c>
      <c r="AM1620" s="1" t="s">
        <v>65</v>
      </c>
      <c r="AN1620" s="1" t="s">
        <v>1279</v>
      </c>
      <c r="AO1620" s="2">
        <v>44215.0</v>
      </c>
      <c r="AP1620" s="2">
        <v>44215.7373032407</v>
      </c>
      <c r="AQ1620" s="1" t="s">
        <v>80</v>
      </c>
      <c r="AR1620" s="1" t="s">
        <v>909</v>
      </c>
      <c r="AS1620" s="1"/>
      <c r="AT1620" s="2">
        <v>44269.931099537</v>
      </c>
    </row>
    <row r="1621" ht="13.5" customHeight="1">
      <c r="A1621" s="1">
        <v>2042557.0</v>
      </c>
      <c r="B1621" s="1" t="s">
        <v>67</v>
      </c>
      <c r="C1621" s="1" t="s">
        <v>68</v>
      </c>
      <c r="D1621" s="1" t="s">
        <v>46</v>
      </c>
      <c r="E1621" s="1" t="s">
        <v>6736</v>
      </c>
      <c r="F1621" s="1"/>
      <c r="G1621" s="1" t="s">
        <v>70</v>
      </c>
      <c r="H1621" s="1" t="s">
        <v>93</v>
      </c>
      <c r="I1621" s="1">
        <v>500.0</v>
      </c>
      <c r="J1621" s="1"/>
      <c r="K1621" s="1"/>
      <c r="L1621" s="1" t="s">
        <v>1040</v>
      </c>
      <c r="M1621" s="1" t="s">
        <v>6737</v>
      </c>
      <c r="N1621" s="1" t="s">
        <v>72</v>
      </c>
      <c r="O1621" s="1" t="s">
        <v>213</v>
      </c>
      <c r="P1621" s="2">
        <v>43771.2083333333</v>
      </c>
      <c r="Q1621" s="1" t="s">
        <v>55</v>
      </c>
      <c r="R1621" s="1"/>
      <c r="S1621" s="1"/>
      <c r="T1621" s="1">
        <v>2609907.0</v>
      </c>
      <c r="U1621" s="1" t="s">
        <v>6439</v>
      </c>
      <c r="V1621" s="1" t="s">
        <v>1037</v>
      </c>
      <c r="W1621" s="1" t="s">
        <v>113</v>
      </c>
      <c r="X1621" s="1"/>
      <c r="Y1621" s="1" t="str">
        <f>"02019000256202003"</f>
        <v>02019000256202003</v>
      </c>
      <c r="Z1621" s="1" t="s">
        <v>215</v>
      </c>
      <c r="AA1621" s="1" t="s">
        <v>6738</v>
      </c>
      <c r="AB1621" s="1" t="str">
        <f>"04407867000117"</f>
        <v>04407867000117</v>
      </c>
      <c r="AC1621" s="1"/>
      <c r="AD1621" s="1"/>
      <c r="AE1621" s="1"/>
      <c r="AF1621" s="1">
        <v>-40.106941</v>
      </c>
      <c r="AG1621" s="1">
        <v>-7.898611</v>
      </c>
      <c r="AH1621" s="1" t="s">
        <v>6739</v>
      </c>
      <c r="AI1621" s="1"/>
      <c r="AJ1621" s="1" t="s">
        <v>1040</v>
      </c>
      <c r="AK1621" s="1"/>
      <c r="AL1621" s="1" t="s">
        <v>79</v>
      </c>
      <c r="AM1621" s="1" t="s">
        <v>65</v>
      </c>
      <c r="AN1621" s="1" t="s">
        <v>1279</v>
      </c>
      <c r="AO1621" s="2">
        <v>44207.0</v>
      </c>
      <c r="AP1621" s="2">
        <v>44207.8323611111</v>
      </c>
      <c r="AQ1621" s="1" t="s">
        <v>80</v>
      </c>
      <c r="AR1621" s="1" t="s">
        <v>909</v>
      </c>
      <c r="AS1621" s="1"/>
      <c r="AT1621" s="2">
        <v>44269.931099537</v>
      </c>
    </row>
    <row r="1622" ht="13.5" customHeight="1">
      <c r="A1622" s="1"/>
      <c r="B1622" s="1" t="s">
        <v>46</v>
      </c>
      <c r="C1622" s="1" t="s">
        <v>47</v>
      </c>
      <c r="D1622" s="1"/>
      <c r="E1622" s="1" t="s">
        <v>6740</v>
      </c>
      <c r="F1622" s="1"/>
      <c r="G1622" s="1"/>
      <c r="H1622" s="1" t="s">
        <v>93</v>
      </c>
      <c r="I1622" s="1">
        <v>395000.0</v>
      </c>
      <c r="J1622" s="1"/>
      <c r="K1622" s="1"/>
      <c r="L1622" s="1"/>
      <c r="M1622" s="1" t="s">
        <v>6741</v>
      </c>
      <c r="N1622" s="1" t="s">
        <v>142</v>
      </c>
      <c r="O1622" s="1" t="s">
        <v>143</v>
      </c>
      <c r="P1622" s="2">
        <v>43770.8820833333</v>
      </c>
      <c r="Q1622" s="1" t="s">
        <v>74</v>
      </c>
      <c r="R1622" s="3">
        <v>43775.0</v>
      </c>
      <c r="S1622" s="1"/>
      <c r="T1622" s="1">
        <v>5106190.0</v>
      </c>
      <c r="U1622" s="1" t="s">
        <v>5890</v>
      </c>
      <c r="V1622" s="1" t="s">
        <v>164</v>
      </c>
      <c r="W1622" s="1" t="s">
        <v>177</v>
      </c>
      <c r="X1622" s="1"/>
      <c r="Y1622" s="1"/>
      <c r="Z1622" s="1" t="s">
        <v>147</v>
      </c>
      <c r="AA1622" s="1" t="s">
        <v>6678</v>
      </c>
      <c r="AB1622" s="1" t="str">
        <f>"***806431**"</f>
        <v>***806431**</v>
      </c>
      <c r="AC1622" s="1"/>
      <c r="AD1622" s="1" t="s">
        <v>116</v>
      </c>
      <c r="AE1622" s="1"/>
      <c r="AF1622" s="1">
        <v>-54.782776</v>
      </c>
      <c r="AG1622" s="1">
        <v>-11.0675</v>
      </c>
      <c r="AH1622" s="1" t="s">
        <v>6742</v>
      </c>
      <c r="AI1622" s="1"/>
      <c r="AJ1622" s="1" t="s">
        <v>172</v>
      </c>
      <c r="AK1622" s="1"/>
      <c r="AL1622" s="1"/>
      <c r="AM1622" s="1" t="s">
        <v>65</v>
      </c>
      <c r="AN1622" s="1" t="s">
        <v>2164</v>
      </c>
      <c r="AO1622" s="1"/>
      <c r="AP1622" s="2">
        <v>43773.6247106482</v>
      </c>
      <c r="AQ1622" s="1"/>
      <c r="AR1622" s="1" t="s">
        <v>644</v>
      </c>
      <c r="AS1622" s="1"/>
      <c r="AT1622" s="2">
        <v>44269.931099537</v>
      </c>
    </row>
    <row r="1623" ht="13.5" customHeight="1">
      <c r="A1623" s="1"/>
      <c r="B1623" s="1" t="s">
        <v>46</v>
      </c>
      <c r="C1623" s="1" t="s">
        <v>47</v>
      </c>
      <c r="D1623" s="1"/>
      <c r="E1623" s="1" t="s">
        <v>6743</v>
      </c>
      <c r="F1623" s="1"/>
      <c r="G1623" s="1"/>
      <c r="H1623" s="1" t="s">
        <v>93</v>
      </c>
      <c r="I1623" s="1">
        <v>5000.0</v>
      </c>
      <c r="J1623" s="1"/>
      <c r="K1623" s="1"/>
      <c r="L1623" s="1"/>
      <c r="M1623" s="1" t="s">
        <v>6744</v>
      </c>
      <c r="N1623" s="1" t="s">
        <v>142</v>
      </c>
      <c r="O1623" s="1" t="s">
        <v>143</v>
      </c>
      <c r="P1623" s="2">
        <v>43770.8759143519</v>
      </c>
      <c r="Q1623" s="1" t="s">
        <v>373</v>
      </c>
      <c r="R1623" s="1"/>
      <c r="S1623" s="1"/>
      <c r="T1623" s="1">
        <v>2109007.0</v>
      </c>
      <c r="U1623" s="1" t="s">
        <v>6140</v>
      </c>
      <c r="V1623" s="1" t="s">
        <v>540</v>
      </c>
      <c r="W1623" s="1" t="s">
        <v>127</v>
      </c>
      <c r="X1623" s="1"/>
      <c r="Y1623" s="1"/>
      <c r="Z1623" s="1" t="s">
        <v>147</v>
      </c>
      <c r="AA1623" s="1" t="s">
        <v>6745</v>
      </c>
      <c r="AB1623" s="1" t="str">
        <f>"***778613**"</f>
        <v>***778613**</v>
      </c>
      <c r="AC1623" s="1"/>
      <c r="AD1623" s="1" t="s">
        <v>116</v>
      </c>
      <c r="AE1623" s="1"/>
      <c r="AF1623" s="1">
        <v>-47.224445</v>
      </c>
      <c r="AG1623" s="1">
        <v>-6.310278</v>
      </c>
      <c r="AH1623" s="1" t="s">
        <v>6746</v>
      </c>
      <c r="AI1623" s="1"/>
      <c r="AJ1623" s="1" t="s">
        <v>537</v>
      </c>
      <c r="AK1623" s="1"/>
      <c r="AL1623" s="1"/>
      <c r="AM1623" s="1" t="s">
        <v>65</v>
      </c>
      <c r="AN1623" s="1" t="s">
        <v>4203</v>
      </c>
      <c r="AO1623" s="1"/>
      <c r="AP1623" s="2">
        <v>43770.8906944444</v>
      </c>
      <c r="AQ1623" s="1"/>
      <c r="AR1623" s="1" t="s">
        <v>3478</v>
      </c>
      <c r="AS1623" s="1"/>
      <c r="AT1623" s="2">
        <v>44269.931099537</v>
      </c>
    </row>
    <row r="1624" ht="13.5" customHeight="1">
      <c r="A1624" s="1"/>
      <c r="B1624" s="1" t="s">
        <v>46</v>
      </c>
      <c r="C1624" s="1" t="s">
        <v>47</v>
      </c>
      <c r="D1624" s="1"/>
      <c r="E1624" s="1" t="s">
        <v>6747</v>
      </c>
      <c r="F1624" s="1"/>
      <c r="G1624" s="1" t="s">
        <v>49</v>
      </c>
      <c r="H1624" s="1" t="s">
        <v>93</v>
      </c>
      <c r="I1624" s="1">
        <v>5000.0</v>
      </c>
      <c r="J1624" s="1"/>
      <c r="K1624" s="1"/>
      <c r="L1624" s="1"/>
      <c r="M1624" s="1" t="s">
        <v>6748</v>
      </c>
      <c r="N1624" s="1" t="s">
        <v>142</v>
      </c>
      <c r="O1624" s="1" t="s">
        <v>143</v>
      </c>
      <c r="P1624" s="2">
        <v>43770.8752083333</v>
      </c>
      <c r="Q1624" s="1" t="s">
        <v>373</v>
      </c>
      <c r="R1624" s="1"/>
      <c r="S1624" s="1"/>
      <c r="T1624" s="1">
        <v>2109007.0</v>
      </c>
      <c r="U1624" s="1" t="s">
        <v>6140</v>
      </c>
      <c r="V1624" s="1" t="s">
        <v>540</v>
      </c>
      <c r="W1624" s="1" t="s">
        <v>127</v>
      </c>
      <c r="X1624" s="1"/>
      <c r="Y1624" s="1"/>
      <c r="Z1624" s="1" t="s">
        <v>147</v>
      </c>
      <c r="AA1624" s="1" t="s">
        <v>6749</v>
      </c>
      <c r="AB1624" s="1" t="str">
        <f>"***029463**"</f>
        <v>***029463**</v>
      </c>
      <c r="AC1624" s="1"/>
      <c r="AD1624" s="1" t="s">
        <v>116</v>
      </c>
      <c r="AE1624" s="1"/>
      <c r="AF1624" s="1">
        <v>-47.223057</v>
      </c>
      <c r="AG1624" s="1">
        <v>-6.311389</v>
      </c>
      <c r="AH1624" s="1" t="s">
        <v>6750</v>
      </c>
      <c r="AI1624" s="1"/>
      <c r="AJ1624" s="1" t="s">
        <v>537</v>
      </c>
      <c r="AK1624" s="1"/>
      <c r="AL1624" s="1"/>
      <c r="AM1624" s="1" t="s">
        <v>65</v>
      </c>
      <c r="AN1624" s="1" t="s">
        <v>4203</v>
      </c>
      <c r="AO1624" s="1"/>
      <c r="AP1624" s="2">
        <v>44065.7733796296</v>
      </c>
      <c r="AQ1624" s="1"/>
      <c r="AR1624" s="1" t="s">
        <v>3478</v>
      </c>
      <c r="AS1624" s="1"/>
      <c r="AT1624" s="2">
        <v>44269.931099537</v>
      </c>
    </row>
    <row r="1625" ht="13.5" customHeight="1">
      <c r="A1625" s="1"/>
      <c r="B1625" s="1" t="s">
        <v>46</v>
      </c>
      <c r="C1625" s="1" t="s">
        <v>47</v>
      </c>
      <c r="D1625" s="1"/>
      <c r="E1625" s="1" t="s">
        <v>6751</v>
      </c>
      <c r="F1625" s="1"/>
      <c r="G1625" s="1" t="s">
        <v>49</v>
      </c>
      <c r="H1625" s="1" t="s">
        <v>50</v>
      </c>
      <c r="I1625" s="1">
        <v>1000.0</v>
      </c>
      <c r="J1625" s="1"/>
      <c r="K1625" s="1" t="s">
        <v>51</v>
      </c>
      <c r="L1625" s="1"/>
      <c r="M1625" s="1" t="s">
        <v>6752</v>
      </c>
      <c r="N1625" s="1" t="s">
        <v>123</v>
      </c>
      <c r="O1625" s="1" t="s">
        <v>73</v>
      </c>
      <c r="P1625" s="2">
        <v>43770.7815162037</v>
      </c>
      <c r="Q1625" s="1" t="s">
        <v>74</v>
      </c>
      <c r="R1625" s="3">
        <v>43802.0</v>
      </c>
      <c r="S1625" s="1"/>
      <c r="T1625" s="1">
        <v>3509502.0</v>
      </c>
      <c r="U1625" s="1" t="s">
        <v>97</v>
      </c>
      <c r="V1625" s="1" t="s">
        <v>58</v>
      </c>
      <c r="W1625" s="1" t="s">
        <v>59</v>
      </c>
      <c r="X1625" s="1"/>
      <c r="Y1625" s="1"/>
      <c r="Z1625" s="1" t="s">
        <v>76</v>
      </c>
      <c r="AA1625" s="1" t="s">
        <v>6753</v>
      </c>
      <c r="AB1625" s="1" t="str">
        <f t="shared" ref="AB1625:AB1626" si="98">"04951747000186"</f>
        <v>04951747000186</v>
      </c>
      <c r="AC1625" s="1"/>
      <c r="AD1625" s="1" t="s">
        <v>62</v>
      </c>
      <c r="AE1625" s="1"/>
      <c r="AF1625" s="1">
        <v>-47.144169</v>
      </c>
      <c r="AG1625" s="1">
        <v>-23.007778</v>
      </c>
      <c r="AH1625" s="1" t="s">
        <v>3543</v>
      </c>
      <c r="AI1625" s="1"/>
      <c r="AJ1625" s="1" t="s">
        <v>64</v>
      </c>
      <c r="AK1625" s="1"/>
      <c r="AL1625" s="1"/>
      <c r="AM1625" s="1" t="s">
        <v>65</v>
      </c>
      <c r="AN1625" s="1" t="s">
        <v>102</v>
      </c>
      <c r="AO1625" s="1"/>
      <c r="AP1625" s="2">
        <v>44183.7978819444</v>
      </c>
      <c r="AQ1625" s="1"/>
      <c r="AR1625" s="1" t="s">
        <v>494</v>
      </c>
      <c r="AS1625" s="1"/>
      <c r="AT1625" s="2">
        <v>44269.931099537</v>
      </c>
    </row>
    <row r="1626" ht="13.5" customHeight="1">
      <c r="A1626" s="1"/>
      <c r="B1626" s="1" t="s">
        <v>46</v>
      </c>
      <c r="C1626" s="1" t="s">
        <v>47</v>
      </c>
      <c r="D1626" s="1"/>
      <c r="E1626" s="1" t="s">
        <v>6754</v>
      </c>
      <c r="F1626" s="1"/>
      <c r="G1626" s="1" t="s">
        <v>5034</v>
      </c>
      <c r="H1626" s="1" t="s">
        <v>50</v>
      </c>
      <c r="I1626" s="1">
        <v>250.0</v>
      </c>
      <c r="J1626" s="1"/>
      <c r="K1626" s="1" t="s">
        <v>51</v>
      </c>
      <c r="L1626" s="1"/>
      <c r="M1626" s="1" t="s">
        <v>6755</v>
      </c>
      <c r="N1626" s="1" t="s">
        <v>977</v>
      </c>
      <c r="O1626" s="1" t="s">
        <v>978</v>
      </c>
      <c r="P1626" s="2">
        <v>43770.7702199074</v>
      </c>
      <c r="Q1626" s="1" t="s">
        <v>74</v>
      </c>
      <c r="R1626" s="3">
        <v>43802.0</v>
      </c>
      <c r="S1626" s="1"/>
      <c r="T1626" s="1">
        <v>3509502.0</v>
      </c>
      <c r="U1626" s="1" t="s">
        <v>97</v>
      </c>
      <c r="V1626" s="1" t="s">
        <v>58</v>
      </c>
      <c r="W1626" s="1" t="s">
        <v>59</v>
      </c>
      <c r="X1626" s="1"/>
      <c r="Y1626" s="1"/>
      <c r="Z1626" s="1" t="s">
        <v>980</v>
      </c>
      <c r="AA1626" s="1" t="s">
        <v>6753</v>
      </c>
      <c r="AB1626" s="1" t="str">
        <f t="shared" si="98"/>
        <v>04951747000186</v>
      </c>
      <c r="AC1626" s="1"/>
      <c r="AD1626" s="1" t="s">
        <v>149</v>
      </c>
      <c r="AE1626" s="1"/>
      <c r="AF1626" s="1">
        <v>-47.144169</v>
      </c>
      <c r="AG1626" s="1">
        <v>-23.007778</v>
      </c>
      <c r="AH1626" s="1" t="s">
        <v>3543</v>
      </c>
      <c r="AI1626" s="1"/>
      <c r="AJ1626" s="1" t="s">
        <v>64</v>
      </c>
      <c r="AK1626" s="1"/>
      <c r="AL1626" s="1"/>
      <c r="AM1626" s="1" t="s">
        <v>65</v>
      </c>
      <c r="AN1626" s="1" t="s">
        <v>102</v>
      </c>
      <c r="AO1626" s="1"/>
      <c r="AP1626" s="2">
        <v>44183.7979861111</v>
      </c>
      <c r="AQ1626" s="1"/>
      <c r="AR1626" s="1" t="s">
        <v>984</v>
      </c>
      <c r="AS1626" s="1"/>
      <c r="AT1626" s="2">
        <v>44269.931099537</v>
      </c>
    </row>
    <row r="1627" ht="13.5" customHeight="1">
      <c r="A1627" s="1">
        <v>2042686.0</v>
      </c>
      <c r="B1627" s="1" t="s">
        <v>67</v>
      </c>
      <c r="C1627" s="1" t="s">
        <v>68</v>
      </c>
      <c r="D1627" s="1" t="s">
        <v>46</v>
      </c>
      <c r="E1627" s="1" t="s">
        <v>6756</v>
      </c>
      <c r="F1627" s="1"/>
      <c r="G1627" s="1" t="s">
        <v>70</v>
      </c>
      <c r="H1627" s="1" t="s">
        <v>50</v>
      </c>
      <c r="I1627" s="1">
        <v>500.0</v>
      </c>
      <c r="J1627" s="1"/>
      <c r="K1627" s="1"/>
      <c r="L1627" s="1" t="s">
        <v>1040</v>
      </c>
      <c r="M1627" s="1" t="s">
        <v>6757</v>
      </c>
      <c r="N1627" s="1" t="s">
        <v>72</v>
      </c>
      <c r="O1627" s="1" t="s">
        <v>213</v>
      </c>
      <c r="P1627" s="2">
        <v>43770.75</v>
      </c>
      <c r="Q1627" s="1" t="s">
        <v>55</v>
      </c>
      <c r="R1627" s="1"/>
      <c r="S1627" s="1"/>
      <c r="T1627" s="1">
        <v>2615607.0</v>
      </c>
      <c r="U1627" s="1" t="s">
        <v>5422</v>
      </c>
      <c r="V1627" s="1" t="s">
        <v>1037</v>
      </c>
      <c r="W1627" s="1" t="s">
        <v>113</v>
      </c>
      <c r="X1627" s="1"/>
      <c r="Y1627" s="1" t="str">
        <f>"02019003778201915"</f>
        <v>02019003778201915</v>
      </c>
      <c r="Z1627" s="1" t="s">
        <v>215</v>
      </c>
      <c r="AA1627" s="1" t="s">
        <v>6758</v>
      </c>
      <c r="AB1627" s="1" t="str">
        <f>"32535821000119"</f>
        <v>32535821000119</v>
      </c>
      <c r="AC1627" s="1"/>
      <c r="AD1627" s="1"/>
      <c r="AE1627" s="1"/>
      <c r="AF1627" s="1">
        <v>-40.483891</v>
      </c>
      <c r="AG1627" s="1">
        <v>-7.834167</v>
      </c>
      <c r="AH1627" s="1" t="s">
        <v>6759</v>
      </c>
      <c r="AI1627" s="1"/>
      <c r="AJ1627" s="1" t="s">
        <v>1040</v>
      </c>
      <c r="AK1627" s="1"/>
      <c r="AL1627" s="1" t="s">
        <v>79</v>
      </c>
      <c r="AM1627" s="1" t="s">
        <v>65</v>
      </c>
      <c r="AN1627" s="1" t="s">
        <v>1279</v>
      </c>
      <c r="AO1627" s="2">
        <v>44215.0</v>
      </c>
      <c r="AP1627" s="2">
        <v>44215.7371180556</v>
      </c>
      <c r="AQ1627" s="1" t="s">
        <v>80</v>
      </c>
      <c r="AR1627" s="1" t="s">
        <v>909</v>
      </c>
      <c r="AS1627" s="1"/>
      <c r="AT1627" s="2">
        <v>44269.931099537</v>
      </c>
    </row>
    <row r="1628" ht="13.5" customHeight="1">
      <c r="A1628" s="1"/>
      <c r="B1628" s="1" t="s">
        <v>46</v>
      </c>
      <c r="C1628" s="1" t="s">
        <v>47</v>
      </c>
      <c r="D1628" s="1"/>
      <c r="E1628" s="1" t="s">
        <v>6760</v>
      </c>
      <c r="F1628" s="1"/>
      <c r="G1628" s="1"/>
      <c r="H1628" s="1" t="s">
        <v>93</v>
      </c>
      <c r="I1628" s="1">
        <v>3690.0</v>
      </c>
      <c r="J1628" s="1"/>
      <c r="K1628" s="1"/>
      <c r="L1628" s="1"/>
      <c r="M1628" s="1" t="s">
        <v>6761</v>
      </c>
      <c r="N1628" s="1" t="s">
        <v>53</v>
      </c>
      <c r="O1628" s="1" t="s">
        <v>54</v>
      </c>
      <c r="P1628" s="2">
        <v>43770.7464930556</v>
      </c>
      <c r="Q1628" s="1" t="s">
        <v>74</v>
      </c>
      <c r="R1628" s="3">
        <v>43761.0</v>
      </c>
      <c r="S1628" s="1"/>
      <c r="T1628" s="1">
        <v>3200409.0</v>
      </c>
      <c r="U1628" s="1" t="s">
        <v>6762</v>
      </c>
      <c r="V1628" s="1" t="s">
        <v>403</v>
      </c>
      <c r="W1628" s="1" t="s">
        <v>288</v>
      </c>
      <c r="X1628" s="1"/>
      <c r="Y1628" s="1"/>
      <c r="Z1628" s="1" t="s">
        <v>60</v>
      </c>
      <c r="AA1628" s="1" t="s">
        <v>6763</v>
      </c>
      <c r="AB1628" s="1" t="str">
        <f>"***575427**"</f>
        <v>***575427**</v>
      </c>
      <c r="AC1628" s="1"/>
      <c r="AD1628" s="1" t="s">
        <v>62</v>
      </c>
      <c r="AE1628" s="1"/>
      <c r="AF1628" s="1">
        <v>-40.656113</v>
      </c>
      <c r="AG1628" s="1">
        <v>-20.804443</v>
      </c>
      <c r="AH1628" s="1" t="s">
        <v>6764</v>
      </c>
      <c r="AI1628" s="1"/>
      <c r="AJ1628" s="1" t="s">
        <v>172</v>
      </c>
      <c r="AK1628" s="1"/>
      <c r="AL1628" s="1"/>
      <c r="AM1628" s="1" t="s">
        <v>65</v>
      </c>
      <c r="AN1628" s="1" t="s">
        <v>6765</v>
      </c>
      <c r="AO1628" s="1"/>
      <c r="AP1628" s="2">
        <v>43770.8297916667</v>
      </c>
      <c r="AQ1628" s="1"/>
      <c r="AR1628" s="1" t="s">
        <v>4267</v>
      </c>
      <c r="AS1628" s="1"/>
      <c r="AT1628" s="2">
        <v>44269.931099537</v>
      </c>
    </row>
    <row r="1629" ht="13.5" customHeight="1">
      <c r="A1629" s="1">
        <v>2039475.0</v>
      </c>
      <c r="B1629" s="1" t="s">
        <v>67</v>
      </c>
      <c r="C1629" s="1" t="s">
        <v>68</v>
      </c>
      <c r="D1629" s="1" t="s">
        <v>46</v>
      </c>
      <c r="E1629" s="1" t="s">
        <v>6766</v>
      </c>
      <c r="F1629" s="1"/>
      <c r="G1629" s="1" t="s">
        <v>70</v>
      </c>
      <c r="H1629" s="1" t="s">
        <v>93</v>
      </c>
      <c r="I1629" s="1">
        <v>5000.0</v>
      </c>
      <c r="J1629" s="1"/>
      <c r="K1629" s="1"/>
      <c r="L1629" s="1" t="s">
        <v>537</v>
      </c>
      <c r="M1629" s="1" t="s">
        <v>6767</v>
      </c>
      <c r="N1629" s="1" t="s">
        <v>142</v>
      </c>
      <c r="O1629" s="1" t="s">
        <v>143</v>
      </c>
      <c r="P1629" s="2">
        <v>43770.7083333333</v>
      </c>
      <c r="Q1629" s="1" t="s">
        <v>373</v>
      </c>
      <c r="R1629" s="3">
        <v>43770.0</v>
      </c>
      <c r="S1629" s="1"/>
      <c r="T1629" s="1">
        <v>2109007.0</v>
      </c>
      <c r="U1629" s="1" t="s">
        <v>6140</v>
      </c>
      <c r="V1629" s="1" t="s">
        <v>540</v>
      </c>
      <c r="W1629" s="1" t="s">
        <v>127</v>
      </c>
      <c r="X1629" s="1"/>
      <c r="Y1629" s="1" t="str">
        <f>"02012002108202085"</f>
        <v>02012002108202085</v>
      </c>
      <c r="Z1629" s="1" t="s">
        <v>147</v>
      </c>
      <c r="AA1629" s="1" t="s">
        <v>6768</v>
      </c>
      <c r="AB1629" s="1" t="str">
        <f>"***523243**"</f>
        <v>***523243**</v>
      </c>
      <c r="AC1629" s="1"/>
      <c r="AD1629" s="1"/>
      <c r="AE1629" s="1"/>
      <c r="AF1629" s="1">
        <v>-47.290833</v>
      </c>
      <c r="AG1629" s="1">
        <v>-6.310833</v>
      </c>
      <c r="AH1629" s="1" t="s">
        <v>6769</v>
      </c>
      <c r="AI1629" s="1"/>
      <c r="AJ1629" s="1" t="s">
        <v>537</v>
      </c>
      <c r="AK1629" s="1"/>
      <c r="AL1629" s="1" t="s">
        <v>79</v>
      </c>
      <c r="AM1629" s="1" t="s">
        <v>65</v>
      </c>
      <c r="AN1629" s="1" t="s">
        <v>4203</v>
      </c>
      <c r="AO1629" s="2">
        <v>44063.0</v>
      </c>
      <c r="AP1629" s="2">
        <v>44063.6532407407</v>
      </c>
      <c r="AQ1629" s="1" t="s">
        <v>80</v>
      </c>
      <c r="AR1629" s="1" t="s">
        <v>451</v>
      </c>
      <c r="AS1629" s="1"/>
      <c r="AT1629" s="2">
        <v>44269.931099537</v>
      </c>
    </row>
    <row r="1630" ht="13.5" customHeight="1">
      <c r="A1630" s="1">
        <v>2040243.0</v>
      </c>
      <c r="B1630" s="1" t="s">
        <v>67</v>
      </c>
      <c r="C1630" s="1" t="s">
        <v>68</v>
      </c>
      <c r="D1630" s="1" t="s">
        <v>46</v>
      </c>
      <c r="E1630" s="1" t="s">
        <v>6770</v>
      </c>
      <c r="F1630" s="1"/>
      <c r="G1630" s="1" t="s">
        <v>70</v>
      </c>
      <c r="H1630" s="1" t="s">
        <v>93</v>
      </c>
      <c r="I1630" s="1">
        <v>1800.0</v>
      </c>
      <c r="J1630" s="1"/>
      <c r="K1630" s="1"/>
      <c r="L1630" s="1" t="s">
        <v>569</v>
      </c>
      <c r="M1630" s="1" t="s">
        <v>6771</v>
      </c>
      <c r="N1630" s="1" t="s">
        <v>142</v>
      </c>
      <c r="O1630" s="1" t="s">
        <v>143</v>
      </c>
      <c r="P1630" s="2">
        <v>43770.7083333333</v>
      </c>
      <c r="Q1630" s="1" t="s">
        <v>373</v>
      </c>
      <c r="R1630" s="3">
        <v>43770.0</v>
      </c>
      <c r="S1630" s="1"/>
      <c r="T1630" s="1">
        <v>2803500.0</v>
      </c>
      <c r="U1630" s="1" t="s">
        <v>565</v>
      </c>
      <c r="V1630" s="1" t="s">
        <v>566</v>
      </c>
      <c r="W1630" s="1" t="s">
        <v>113</v>
      </c>
      <c r="X1630" s="1"/>
      <c r="Y1630" s="1"/>
      <c r="Z1630" s="1" t="s">
        <v>147</v>
      </c>
      <c r="AA1630" s="1" t="s">
        <v>6772</v>
      </c>
      <c r="AB1630" s="1" t="str">
        <f>"***588725**"</f>
        <v>***588725**</v>
      </c>
      <c r="AC1630" s="1"/>
      <c r="AD1630" s="1"/>
      <c r="AE1630" s="1"/>
      <c r="AF1630" s="1">
        <v>-37.708332</v>
      </c>
      <c r="AG1630" s="1">
        <v>-10.873334</v>
      </c>
      <c r="AH1630" s="1" t="s">
        <v>6773</v>
      </c>
      <c r="AI1630" s="1"/>
      <c r="AJ1630" s="1" t="s">
        <v>569</v>
      </c>
      <c r="AK1630" s="1"/>
      <c r="AL1630" s="1" t="s">
        <v>79</v>
      </c>
      <c r="AM1630" s="1" t="s">
        <v>65</v>
      </c>
      <c r="AN1630" s="1" t="s">
        <v>643</v>
      </c>
      <c r="AO1630" s="2">
        <v>44118.0</v>
      </c>
      <c r="AP1630" s="2">
        <v>44118.4273842593</v>
      </c>
      <c r="AQ1630" s="1" t="s">
        <v>80</v>
      </c>
      <c r="AR1630" s="1" t="s">
        <v>181</v>
      </c>
      <c r="AS1630" s="1"/>
      <c r="AT1630" s="2">
        <v>44269.931099537</v>
      </c>
    </row>
    <row r="1631" ht="13.5" customHeight="1">
      <c r="A1631" s="1"/>
      <c r="B1631" s="1" t="s">
        <v>46</v>
      </c>
      <c r="C1631" s="1" t="s">
        <v>47</v>
      </c>
      <c r="D1631" s="1"/>
      <c r="E1631" s="1" t="s">
        <v>6774</v>
      </c>
      <c r="F1631" s="1"/>
      <c r="G1631" s="1" t="s">
        <v>49</v>
      </c>
      <c r="H1631" s="1" t="s">
        <v>93</v>
      </c>
      <c r="I1631" s="1">
        <v>5000.0</v>
      </c>
      <c r="J1631" s="1"/>
      <c r="K1631" s="1"/>
      <c r="L1631" s="1"/>
      <c r="M1631" s="1" t="s">
        <v>6775</v>
      </c>
      <c r="N1631" s="1" t="s">
        <v>142</v>
      </c>
      <c r="O1631" s="1" t="s">
        <v>143</v>
      </c>
      <c r="P1631" s="2">
        <v>43770.6887384259</v>
      </c>
      <c r="Q1631" s="1" t="s">
        <v>373</v>
      </c>
      <c r="R1631" s="1"/>
      <c r="S1631" s="1"/>
      <c r="T1631" s="1">
        <v>2109007.0</v>
      </c>
      <c r="U1631" s="1" t="s">
        <v>6140</v>
      </c>
      <c r="V1631" s="1" t="s">
        <v>540</v>
      </c>
      <c r="W1631" s="1" t="s">
        <v>127</v>
      </c>
      <c r="X1631" s="1"/>
      <c r="Y1631" s="1"/>
      <c r="Z1631" s="1" t="s">
        <v>147</v>
      </c>
      <c r="AA1631" s="1" t="s">
        <v>6776</v>
      </c>
      <c r="AB1631" s="1" t="str">
        <f>"***853473**"</f>
        <v>***853473**</v>
      </c>
      <c r="AC1631" s="1"/>
      <c r="AD1631" s="1" t="s">
        <v>116</v>
      </c>
      <c r="AE1631" s="1"/>
      <c r="AF1631" s="1">
        <v>-47.190277</v>
      </c>
      <c r="AG1631" s="1">
        <v>-6.225</v>
      </c>
      <c r="AH1631" s="1" t="s">
        <v>6777</v>
      </c>
      <c r="AI1631" s="1"/>
      <c r="AJ1631" s="1" t="s">
        <v>537</v>
      </c>
      <c r="AK1631" s="1"/>
      <c r="AL1631" s="1"/>
      <c r="AM1631" s="1" t="s">
        <v>65</v>
      </c>
      <c r="AN1631" s="1" t="s">
        <v>4203</v>
      </c>
      <c r="AO1631" s="1"/>
      <c r="AP1631" s="2">
        <v>44065.7736342593</v>
      </c>
      <c r="AQ1631" s="1"/>
      <c r="AR1631" s="1" t="s">
        <v>3478</v>
      </c>
      <c r="AS1631" s="1"/>
      <c r="AT1631" s="2">
        <v>44269.931099537</v>
      </c>
    </row>
    <row r="1632" ht="13.5" customHeight="1">
      <c r="A1632" s="1"/>
      <c r="B1632" s="1" t="s">
        <v>46</v>
      </c>
      <c r="C1632" s="1" t="s">
        <v>47</v>
      </c>
      <c r="D1632" s="1"/>
      <c r="E1632" s="1" t="s">
        <v>6778</v>
      </c>
      <c r="F1632" s="1"/>
      <c r="G1632" s="1" t="s">
        <v>49</v>
      </c>
      <c r="H1632" s="1" t="s">
        <v>93</v>
      </c>
      <c r="I1632" s="1">
        <v>5000.0</v>
      </c>
      <c r="J1632" s="1"/>
      <c r="K1632" s="1"/>
      <c r="L1632" s="1"/>
      <c r="M1632" s="1" t="s">
        <v>6779</v>
      </c>
      <c r="N1632" s="1" t="s">
        <v>142</v>
      </c>
      <c r="O1632" s="1" t="s">
        <v>143</v>
      </c>
      <c r="P1632" s="2">
        <v>43770.6579861111</v>
      </c>
      <c r="Q1632" s="1" t="s">
        <v>373</v>
      </c>
      <c r="R1632" s="1"/>
      <c r="S1632" s="1"/>
      <c r="T1632" s="1">
        <v>2109007.0</v>
      </c>
      <c r="U1632" s="1" t="s">
        <v>6140</v>
      </c>
      <c r="V1632" s="1" t="s">
        <v>540</v>
      </c>
      <c r="W1632" s="1" t="s">
        <v>127</v>
      </c>
      <c r="X1632" s="1"/>
      <c r="Y1632" s="1"/>
      <c r="Z1632" s="1" t="s">
        <v>147</v>
      </c>
      <c r="AA1632" s="1" t="s">
        <v>6780</v>
      </c>
      <c r="AB1632" s="1" t="str">
        <f>"***803012**"</f>
        <v>***803012**</v>
      </c>
      <c r="AC1632" s="1"/>
      <c r="AD1632" s="1" t="s">
        <v>116</v>
      </c>
      <c r="AE1632" s="1"/>
      <c r="AF1632" s="1">
        <v>-47.189445</v>
      </c>
      <c r="AG1632" s="1">
        <v>-6.291945</v>
      </c>
      <c r="AH1632" s="1" t="s">
        <v>6777</v>
      </c>
      <c r="AI1632" s="1"/>
      <c r="AJ1632" s="1" t="s">
        <v>537</v>
      </c>
      <c r="AK1632" s="1"/>
      <c r="AL1632" s="1"/>
      <c r="AM1632" s="1" t="s">
        <v>65</v>
      </c>
      <c r="AN1632" s="1" t="s">
        <v>4203</v>
      </c>
      <c r="AO1632" s="1"/>
      <c r="AP1632" s="2">
        <v>44065.7737615741</v>
      </c>
      <c r="AQ1632" s="1"/>
      <c r="AR1632" s="1" t="s">
        <v>3478</v>
      </c>
      <c r="AS1632" s="1"/>
      <c r="AT1632" s="2">
        <v>44269.931099537</v>
      </c>
    </row>
    <row r="1633" ht="13.5" customHeight="1">
      <c r="A1633" s="1"/>
      <c r="B1633" s="1" t="s">
        <v>46</v>
      </c>
      <c r="C1633" s="1" t="s">
        <v>47</v>
      </c>
      <c r="D1633" s="1"/>
      <c r="E1633" s="1" t="s">
        <v>6781</v>
      </c>
      <c r="F1633" s="1"/>
      <c r="G1633" s="1" t="s">
        <v>49</v>
      </c>
      <c r="H1633" s="1" t="s">
        <v>93</v>
      </c>
      <c r="I1633" s="1">
        <v>5000.0</v>
      </c>
      <c r="J1633" s="1"/>
      <c r="K1633" s="1"/>
      <c r="L1633" s="1"/>
      <c r="M1633" s="1" t="s">
        <v>6782</v>
      </c>
      <c r="N1633" s="1" t="s">
        <v>142</v>
      </c>
      <c r="O1633" s="1" t="s">
        <v>143</v>
      </c>
      <c r="P1633" s="2">
        <v>43770.6318518519</v>
      </c>
      <c r="Q1633" s="1" t="s">
        <v>373</v>
      </c>
      <c r="R1633" s="1"/>
      <c r="S1633" s="1"/>
      <c r="T1633" s="1">
        <v>2109007.0</v>
      </c>
      <c r="U1633" s="1" t="s">
        <v>6140</v>
      </c>
      <c r="V1633" s="1" t="s">
        <v>540</v>
      </c>
      <c r="W1633" s="1" t="s">
        <v>127</v>
      </c>
      <c r="X1633" s="1"/>
      <c r="Y1633" s="1"/>
      <c r="Z1633" s="1" t="s">
        <v>147</v>
      </c>
      <c r="AA1633" s="1" t="s">
        <v>6783</v>
      </c>
      <c r="AB1633" s="1" t="str">
        <f>"***969743**"</f>
        <v>***969743**</v>
      </c>
      <c r="AC1633" s="1"/>
      <c r="AD1633" s="1" t="s">
        <v>116</v>
      </c>
      <c r="AE1633" s="1"/>
      <c r="AF1633" s="1">
        <v>-47.190834</v>
      </c>
      <c r="AG1633" s="1">
        <v>-6.289722</v>
      </c>
      <c r="AH1633" s="1" t="s">
        <v>6784</v>
      </c>
      <c r="AI1633" s="1"/>
      <c r="AJ1633" s="1" t="s">
        <v>537</v>
      </c>
      <c r="AK1633" s="1"/>
      <c r="AL1633" s="1"/>
      <c r="AM1633" s="1" t="s">
        <v>65</v>
      </c>
      <c r="AN1633" s="1" t="s">
        <v>4203</v>
      </c>
      <c r="AO1633" s="1"/>
      <c r="AP1633" s="2">
        <v>44065.7738888889</v>
      </c>
      <c r="AQ1633" s="1"/>
      <c r="AR1633" s="1" t="s">
        <v>3478</v>
      </c>
      <c r="AS1633" s="1"/>
      <c r="AT1633" s="2">
        <v>44269.931099537</v>
      </c>
    </row>
    <row r="1634" ht="13.5" customHeight="1">
      <c r="A1634" s="1"/>
      <c r="B1634" s="1" t="s">
        <v>46</v>
      </c>
      <c r="C1634" s="1" t="s">
        <v>47</v>
      </c>
      <c r="D1634" s="1"/>
      <c r="E1634" s="1" t="s">
        <v>6785</v>
      </c>
      <c r="F1634" s="1"/>
      <c r="G1634" s="1" t="s">
        <v>49</v>
      </c>
      <c r="H1634" s="1" t="s">
        <v>93</v>
      </c>
      <c r="I1634" s="1">
        <v>5000.0</v>
      </c>
      <c r="J1634" s="1"/>
      <c r="K1634" s="1"/>
      <c r="L1634" s="1"/>
      <c r="M1634" s="1" t="s">
        <v>6786</v>
      </c>
      <c r="N1634" s="1" t="s">
        <v>142</v>
      </c>
      <c r="O1634" s="1" t="s">
        <v>143</v>
      </c>
      <c r="P1634" s="2">
        <v>43770.6084027778</v>
      </c>
      <c r="Q1634" s="1" t="s">
        <v>373</v>
      </c>
      <c r="R1634" s="1"/>
      <c r="S1634" s="1"/>
      <c r="T1634" s="1">
        <v>2109007.0</v>
      </c>
      <c r="U1634" s="1" t="s">
        <v>6140</v>
      </c>
      <c r="V1634" s="1" t="s">
        <v>540</v>
      </c>
      <c r="W1634" s="1" t="s">
        <v>127</v>
      </c>
      <c r="X1634" s="1"/>
      <c r="Y1634" s="1"/>
      <c r="Z1634" s="1" t="s">
        <v>147</v>
      </c>
      <c r="AA1634" s="1" t="s">
        <v>6787</v>
      </c>
      <c r="AB1634" s="1" t="str">
        <f>"***750543**"</f>
        <v>***750543**</v>
      </c>
      <c r="AC1634" s="1"/>
      <c r="AD1634" s="1" t="s">
        <v>116</v>
      </c>
      <c r="AE1634" s="1"/>
      <c r="AF1634" s="1">
        <v>-47.193058</v>
      </c>
      <c r="AG1634" s="1">
        <v>-6.288889</v>
      </c>
      <c r="AH1634" s="1" t="s">
        <v>6788</v>
      </c>
      <c r="AI1634" s="1"/>
      <c r="AJ1634" s="1" t="s">
        <v>537</v>
      </c>
      <c r="AK1634" s="1"/>
      <c r="AL1634" s="1"/>
      <c r="AM1634" s="1" t="s">
        <v>65</v>
      </c>
      <c r="AN1634" s="1" t="s">
        <v>4203</v>
      </c>
      <c r="AO1634" s="1"/>
      <c r="AP1634" s="2">
        <v>44065.7740162037</v>
      </c>
      <c r="AQ1634" s="1"/>
      <c r="AR1634" s="1" t="s">
        <v>3478</v>
      </c>
      <c r="AS1634" s="1"/>
      <c r="AT1634" s="2">
        <v>44269.931099537</v>
      </c>
    </row>
    <row r="1635" ht="13.5" customHeight="1">
      <c r="A1635" s="1">
        <v>2038124.0</v>
      </c>
      <c r="B1635" s="1" t="s">
        <v>67</v>
      </c>
      <c r="C1635" s="1" t="s">
        <v>68</v>
      </c>
      <c r="D1635" s="1" t="s">
        <v>46</v>
      </c>
      <c r="E1635" s="1" t="s">
        <v>6789</v>
      </c>
      <c r="F1635" s="1"/>
      <c r="G1635" s="1" t="s">
        <v>70</v>
      </c>
      <c r="H1635" s="1" t="s">
        <v>50</v>
      </c>
      <c r="I1635" s="1">
        <v>201500.0</v>
      </c>
      <c r="J1635" s="1"/>
      <c r="K1635" s="1"/>
      <c r="L1635" s="1" t="s">
        <v>167</v>
      </c>
      <c r="M1635" s="1" t="s">
        <v>6790</v>
      </c>
      <c r="N1635" s="1" t="s">
        <v>72</v>
      </c>
      <c r="O1635" s="1" t="s">
        <v>73</v>
      </c>
      <c r="P1635" s="2">
        <v>43770.5833333333</v>
      </c>
      <c r="Q1635" s="1" t="s">
        <v>74</v>
      </c>
      <c r="R1635" s="3">
        <v>43770.0</v>
      </c>
      <c r="S1635" s="1"/>
      <c r="T1635" s="1">
        <v>5105150.0</v>
      </c>
      <c r="U1635" s="1" t="s">
        <v>5635</v>
      </c>
      <c r="V1635" s="1" t="s">
        <v>164</v>
      </c>
      <c r="W1635" s="1" t="s">
        <v>177</v>
      </c>
      <c r="X1635" s="1"/>
      <c r="Y1635" s="1" t="str">
        <f>"02013006693201949"</f>
        <v>02013006693201949</v>
      </c>
      <c r="Z1635" s="1" t="s">
        <v>76</v>
      </c>
      <c r="AA1635" s="1" t="s">
        <v>6791</v>
      </c>
      <c r="AB1635" s="1" t="str">
        <f>"10791273000155"</f>
        <v>10791273000155</v>
      </c>
      <c r="AC1635" s="1"/>
      <c r="AD1635" s="1"/>
      <c r="AE1635" s="1"/>
      <c r="AF1635" s="1">
        <v>-58.886391</v>
      </c>
      <c r="AG1635" s="1">
        <v>-11.473889</v>
      </c>
      <c r="AH1635" s="1" t="s">
        <v>6792</v>
      </c>
      <c r="AI1635" s="1"/>
      <c r="AJ1635" s="1" t="s">
        <v>167</v>
      </c>
      <c r="AK1635" s="1"/>
      <c r="AL1635" s="1" t="s">
        <v>79</v>
      </c>
      <c r="AM1635" s="1" t="s">
        <v>65</v>
      </c>
      <c r="AN1635" s="1" t="s">
        <v>337</v>
      </c>
      <c r="AO1635" s="2">
        <v>44022.0</v>
      </c>
      <c r="AP1635" s="2">
        <v>44022.5174652778</v>
      </c>
      <c r="AQ1635" s="1" t="s">
        <v>80</v>
      </c>
      <c r="AR1635" s="1" t="s">
        <v>81</v>
      </c>
      <c r="AS1635" s="1"/>
      <c r="AT1635" s="2">
        <v>44269.931099537</v>
      </c>
    </row>
    <row r="1636" ht="13.5" customHeight="1">
      <c r="A1636" s="1"/>
      <c r="B1636" s="1" t="s">
        <v>46</v>
      </c>
      <c r="C1636" s="1" t="s">
        <v>47</v>
      </c>
      <c r="D1636" s="1"/>
      <c r="E1636" s="1" t="s">
        <v>6793</v>
      </c>
      <c r="F1636" s="1"/>
      <c r="G1636" s="1" t="s">
        <v>49</v>
      </c>
      <c r="H1636" s="1" t="s">
        <v>93</v>
      </c>
      <c r="I1636" s="1">
        <v>600000.0</v>
      </c>
      <c r="J1636" s="1"/>
      <c r="K1636" s="1" t="s">
        <v>140</v>
      </c>
      <c r="L1636" s="1"/>
      <c r="M1636" s="1" t="s">
        <v>6794</v>
      </c>
      <c r="N1636" s="1" t="s">
        <v>212</v>
      </c>
      <c r="O1636" s="1" t="s">
        <v>213</v>
      </c>
      <c r="P1636" s="2">
        <v>43770.5312962963</v>
      </c>
      <c r="Q1636" s="1" t="s">
        <v>74</v>
      </c>
      <c r="R1636" s="1"/>
      <c r="S1636" s="1"/>
      <c r="T1636" s="1">
        <v>1506005.0</v>
      </c>
      <c r="U1636" s="1" t="s">
        <v>1143</v>
      </c>
      <c r="V1636" s="1" t="s">
        <v>193</v>
      </c>
      <c r="W1636" s="1" t="s">
        <v>177</v>
      </c>
      <c r="X1636" s="1"/>
      <c r="Y1636" s="1"/>
      <c r="Z1636" s="1" t="s">
        <v>215</v>
      </c>
      <c r="AA1636" s="1" t="s">
        <v>6795</v>
      </c>
      <c r="AB1636" s="1" t="str">
        <f>"83913525000145"</f>
        <v>83913525000145</v>
      </c>
      <c r="AC1636" s="1"/>
      <c r="AD1636" s="1" t="s">
        <v>116</v>
      </c>
      <c r="AE1636" s="1"/>
      <c r="AF1636" s="1">
        <v>-53.966389</v>
      </c>
      <c r="AG1636" s="1">
        <v>-2.639444</v>
      </c>
      <c r="AH1636" s="1" t="s">
        <v>6796</v>
      </c>
      <c r="AI1636" s="1"/>
      <c r="AJ1636" s="1" t="s">
        <v>765</v>
      </c>
      <c r="AK1636" s="1"/>
      <c r="AL1636" s="1"/>
      <c r="AM1636" s="1" t="s">
        <v>65</v>
      </c>
      <c r="AN1636" s="1" t="s">
        <v>1146</v>
      </c>
      <c r="AO1636" s="1"/>
      <c r="AP1636" s="2">
        <v>44154.8908796296</v>
      </c>
      <c r="AQ1636" s="1"/>
      <c r="AR1636" s="1" t="s">
        <v>721</v>
      </c>
      <c r="AS1636" s="1" t="s">
        <v>6797</v>
      </c>
      <c r="AT1636" s="2">
        <v>44269.931099537</v>
      </c>
    </row>
    <row r="1637" ht="13.5" customHeight="1">
      <c r="A1637" s="1">
        <v>2035599.0</v>
      </c>
      <c r="B1637" s="1" t="s">
        <v>67</v>
      </c>
      <c r="C1637" s="1" t="s">
        <v>68</v>
      </c>
      <c r="D1637" s="1" t="s">
        <v>46</v>
      </c>
      <c r="E1637" s="1" t="s">
        <v>6798</v>
      </c>
      <c r="F1637" s="1"/>
      <c r="G1637" s="1" t="s">
        <v>70</v>
      </c>
      <c r="H1637" s="1" t="s">
        <v>93</v>
      </c>
      <c r="I1637" s="1">
        <v>4500.0</v>
      </c>
      <c r="J1637" s="1"/>
      <c r="K1637" s="1"/>
      <c r="L1637" s="1" t="s">
        <v>1040</v>
      </c>
      <c r="M1637" s="1" t="s">
        <v>6799</v>
      </c>
      <c r="N1637" s="1" t="s">
        <v>142</v>
      </c>
      <c r="O1637" s="1" t="s">
        <v>143</v>
      </c>
      <c r="P1637" s="2">
        <v>43770.4583333333</v>
      </c>
      <c r="Q1637" s="1" t="s">
        <v>55</v>
      </c>
      <c r="R1637" s="3">
        <v>43770.0</v>
      </c>
      <c r="S1637" s="1"/>
      <c r="T1637" s="1">
        <v>2609907.0</v>
      </c>
      <c r="U1637" s="1" t="s">
        <v>6439</v>
      </c>
      <c r="V1637" s="1" t="s">
        <v>1037</v>
      </c>
      <c r="W1637" s="1" t="s">
        <v>113</v>
      </c>
      <c r="X1637" s="1"/>
      <c r="Y1637" s="1" t="str">
        <f>"02019003787201914"</f>
        <v>02019003787201914</v>
      </c>
      <c r="Z1637" s="1" t="s">
        <v>147</v>
      </c>
      <c r="AA1637" s="1" t="s">
        <v>6734</v>
      </c>
      <c r="AB1637" s="1" t="str">
        <f>"00541663000113"</f>
        <v>00541663000113</v>
      </c>
      <c r="AC1637" s="1"/>
      <c r="AD1637" s="1"/>
      <c r="AE1637" s="1"/>
      <c r="AF1637" s="1">
        <v>-40.212219</v>
      </c>
      <c r="AG1637" s="1">
        <v>-8.024445</v>
      </c>
      <c r="AH1637" s="1" t="s">
        <v>6800</v>
      </c>
      <c r="AI1637" s="1"/>
      <c r="AJ1637" s="1" t="s">
        <v>1040</v>
      </c>
      <c r="AK1637" s="1"/>
      <c r="AL1637" s="1" t="s">
        <v>79</v>
      </c>
      <c r="AM1637" s="1" t="s">
        <v>65</v>
      </c>
      <c r="AN1637" s="1" t="s">
        <v>1279</v>
      </c>
      <c r="AO1637" s="2">
        <v>43909.0</v>
      </c>
      <c r="AP1637" s="2">
        <v>43909.6174537037</v>
      </c>
      <c r="AQ1637" s="1" t="s">
        <v>80</v>
      </c>
      <c r="AR1637" s="1" t="s">
        <v>181</v>
      </c>
      <c r="AS1637" s="1"/>
      <c r="AT1637" s="2">
        <v>44269.931099537</v>
      </c>
    </row>
    <row r="1638" ht="13.5" customHeight="1">
      <c r="A1638" s="1">
        <v>2038991.0</v>
      </c>
      <c r="B1638" s="1" t="s">
        <v>67</v>
      </c>
      <c r="C1638" s="1" t="s">
        <v>68</v>
      </c>
      <c r="D1638" s="1" t="s">
        <v>46</v>
      </c>
      <c r="E1638" s="1" t="s">
        <v>6801</v>
      </c>
      <c r="F1638" s="1"/>
      <c r="G1638" s="1" t="s">
        <v>70</v>
      </c>
      <c r="H1638" s="1" t="s">
        <v>93</v>
      </c>
      <c r="I1638" s="1">
        <v>13200.0</v>
      </c>
      <c r="J1638" s="1"/>
      <c r="K1638" s="1"/>
      <c r="L1638" s="1" t="s">
        <v>898</v>
      </c>
      <c r="M1638" s="1" t="s">
        <v>6802</v>
      </c>
      <c r="N1638" s="1" t="s">
        <v>142</v>
      </c>
      <c r="O1638" s="1" t="s">
        <v>143</v>
      </c>
      <c r="P1638" s="2">
        <v>43770.4583333333</v>
      </c>
      <c r="Q1638" s="1" t="s">
        <v>74</v>
      </c>
      <c r="R1638" s="3">
        <v>43769.0</v>
      </c>
      <c r="S1638" s="1"/>
      <c r="T1638" s="1">
        <v>2208007.0</v>
      </c>
      <c r="U1638" s="1" t="s">
        <v>894</v>
      </c>
      <c r="V1638" s="1" t="s">
        <v>895</v>
      </c>
      <c r="W1638" s="1" t="s">
        <v>113</v>
      </c>
      <c r="X1638" s="1"/>
      <c r="Y1638" s="1"/>
      <c r="Z1638" s="1" t="s">
        <v>147</v>
      </c>
      <c r="AA1638" s="1" t="s">
        <v>6803</v>
      </c>
      <c r="AB1638" s="1" t="str">
        <f>"***376934**"</f>
        <v>***376934**</v>
      </c>
      <c r="AC1638" s="1"/>
      <c r="AD1638" s="1"/>
      <c r="AE1638" s="1"/>
      <c r="AF1638" s="1">
        <v>-41.411114</v>
      </c>
      <c r="AG1638" s="1">
        <v>-7.078889</v>
      </c>
      <c r="AH1638" s="1" t="s">
        <v>6804</v>
      </c>
      <c r="AI1638" s="1"/>
      <c r="AJ1638" s="1" t="s">
        <v>898</v>
      </c>
      <c r="AK1638" s="1"/>
      <c r="AL1638" s="1" t="s">
        <v>79</v>
      </c>
      <c r="AM1638" s="1" t="s">
        <v>65</v>
      </c>
      <c r="AN1638" s="1" t="s">
        <v>152</v>
      </c>
      <c r="AO1638" s="2">
        <v>44050.0</v>
      </c>
      <c r="AP1638" s="2">
        <v>44050.6391898148</v>
      </c>
      <c r="AQ1638" s="1" t="s">
        <v>80</v>
      </c>
      <c r="AR1638" s="1" t="s">
        <v>181</v>
      </c>
      <c r="AS1638" s="1"/>
      <c r="AT1638" s="2">
        <v>44269.931099537</v>
      </c>
    </row>
    <row r="1639" ht="13.5" customHeight="1">
      <c r="A1639" s="1"/>
      <c r="B1639" s="1" t="s">
        <v>46</v>
      </c>
      <c r="C1639" s="1" t="s">
        <v>47</v>
      </c>
      <c r="D1639" s="1"/>
      <c r="E1639" s="1" t="s">
        <v>6805</v>
      </c>
      <c r="F1639" s="1"/>
      <c r="G1639" s="1" t="s">
        <v>49</v>
      </c>
      <c r="H1639" s="1" t="s">
        <v>93</v>
      </c>
      <c r="I1639" s="1">
        <v>4813.35</v>
      </c>
      <c r="J1639" s="1"/>
      <c r="K1639" s="1"/>
      <c r="L1639" s="1"/>
      <c r="M1639" s="1" t="s">
        <v>6806</v>
      </c>
      <c r="N1639" s="1" t="s">
        <v>142</v>
      </c>
      <c r="O1639" s="1" t="s">
        <v>143</v>
      </c>
      <c r="P1639" s="2">
        <v>43770.4504976852</v>
      </c>
      <c r="Q1639" s="1" t="s">
        <v>373</v>
      </c>
      <c r="R1639" s="1"/>
      <c r="S1639" s="1"/>
      <c r="T1639" s="1">
        <v>5219902.0</v>
      </c>
      <c r="U1639" s="1" t="s">
        <v>6807</v>
      </c>
      <c r="V1639" s="1" t="s">
        <v>375</v>
      </c>
      <c r="W1639" s="1" t="s">
        <v>177</v>
      </c>
      <c r="X1639" s="1"/>
      <c r="Y1639" s="1"/>
      <c r="Z1639" s="1" t="s">
        <v>147</v>
      </c>
      <c r="AA1639" s="1" t="s">
        <v>6808</v>
      </c>
      <c r="AB1639" s="1" t="str">
        <f>"00081428000106"</f>
        <v>00081428000106</v>
      </c>
      <c r="AC1639" s="1"/>
      <c r="AD1639" s="1" t="s">
        <v>62</v>
      </c>
      <c r="AE1639" s="1"/>
      <c r="AF1639" s="1">
        <v>-49.260834</v>
      </c>
      <c r="AG1639" s="1">
        <v>-15.933889</v>
      </c>
      <c r="AH1639" s="1" t="s">
        <v>6809</v>
      </c>
      <c r="AI1639" s="1"/>
      <c r="AJ1639" s="1" t="s">
        <v>371</v>
      </c>
      <c r="AK1639" s="1"/>
      <c r="AL1639" s="1"/>
      <c r="AM1639" s="1" t="s">
        <v>65</v>
      </c>
      <c r="AN1639" s="1" t="s">
        <v>6461</v>
      </c>
      <c r="AO1639" s="1"/>
      <c r="AP1639" s="2">
        <v>44118.5475578704</v>
      </c>
      <c r="AQ1639" s="1"/>
      <c r="AR1639" s="1" t="s">
        <v>399</v>
      </c>
      <c r="AS1639" s="1"/>
      <c r="AT1639" s="2">
        <v>44269.931099537</v>
      </c>
    </row>
    <row r="1640" ht="13.5" customHeight="1">
      <c r="A1640" s="1"/>
      <c r="B1640" s="1" t="s">
        <v>46</v>
      </c>
      <c r="C1640" s="1" t="s">
        <v>47</v>
      </c>
      <c r="D1640" s="1"/>
      <c r="E1640" s="1" t="s">
        <v>6810</v>
      </c>
      <c r="F1640" s="1"/>
      <c r="G1640" s="1"/>
      <c r="H1640" s="1" t="s">
        <v>93</v>
      </c>
      <c r="I1640" s="1">
        <v>19359.18</v>
      </c>
      <c r="J1640" s="1"/>
      <c r="K1640" s="1"/>
      <c r="L1640" s="1"/>
      <c r="M1640" s="1" t="s">
        <v>6811</v>
      </c>
      <c r="N1640" s="1" t="s">
        <v>142</v>
      </c>
      <c r="O1640" s="1" t="s">
        <v>143</v>
      </c>
      <c r="P1640" s="2">
        <v>43770.3798032407</v>
      </c>
      <c r="Q1640" s="1" t="s">
        <v>373</v>
      </c>
      <c r="R1640" s="1"/>
      <c r="S1640" s="1"/>
      <c r="T1640" s="1">
        <v>5214051.0</v>
      </c>
      <c r="U1640" s="1" t="s">
        <v>6812</v>
      </c>
      <c r="V1640" s="1" t="s">
        <v>375</v>
      </c>
      <c r="W1640" s="1" t="s">
        <v>177</v>
      </c>
      <c r="X1640" s="1"/>
      <c r="Y1640" s="1"/>
      <c r="Z1640" s="1" t="s">
        <v>147</v>
      </c>
      <c r="AA1640" s="1" t="s">
        <v>6813</v>
      </c>
      <c r="AB1640" s="1" t="str">
        <f>"***638808**"</f>
        <v>***638808**</v>
      </c>
      <c r="AC1640" s="1"/>
      <c r="AD1640" s="1" t="s">
        <v>62</v>
      </c>
      <c r="AE1640" s="1"/>
      <c r="AF1640" s="1">
        <v>-50.276665</v>
      </c>
      <c r="AG1640" s="1">
        <v>-13.982499</v>
      </c>
      <c r="AH1640" s="1" t="s">
        <v>6814</v>
      </c>
      <c r="AI1640" s="1"/>
      <c r="AJ1640" s="1" t="s">
        <v>371</v>
      </c>
      <c r="AK1640" s="1"/>
      <c r="AL1640" s="1"/>
      <c r="AM1640" s="1" t="s">
        <v>65</v>
      </c>
      <c r="AN1640" s="1" t="s">
        <v>6531</v>
      </c>
      <c r="AO1640" s="1"/>
      <c r="AP1640" s="2">
        <v>43770.3947800926</v>
      </c>
      <c r="AQ1640" s="1"/>
      <c r="AR1640" s="1" t="s">
        <v>399</v>
      </c>
      <c r="AS1640" s="1"/>
      <c r="AT1640" s="2">
        <v>44269.931099537</v>
      </c>
    </row>
    <row r="1641" ht="13.5" customHeight="1">
      <c r="A1641" s="1"/>
      <c r="B1641" s="1" t="s">
        <v>46</v>
      </c>
      <c r="C1641" s="1" t="s">
        <v>47</v>
      </c>
      <c r="D1641" s="1"/>
      <c r="E1641" s="1" t="s">
        <v>6815</v>
      </c>
      <c r="F1641" s="1"/>
      <c r="G1641" s="1" t="s">
        <v>49</v>
      </c>
      <c r="H1641" s="1" t="s">
        <v>93</v>
      </c>
      <c r="I1641" s="1">
        <v>3200.0</v>
      </c>
      <c r="J1641" s="1"/>
      <c r="K1641" s="1"/>
      <c r="L1641" s="1"/>
      <c r="M1641" s="1" t="s">
        <v>6816</v>
      </c>
      <c r="N1641" s="1" t="s">
        <v>142</v>
      </c>
      <c r="O1641" s="1" t="s">
        <v>143</v>
      </c>
      <c r="P1641" s="2">
        <v>43770.3434606482</v>
      </c>
      <c r="Q1641" s="1" t="s">
        <v>74</v>
      </c>
      <c r="R1641" s="3">
        <v>43770.0</v>
      </c>
      <c r="S1641" s="1"/>
      <c r="T1641" s="1">
        <v>2208007.0</v>
      </c>
      <c r="U1641" s="1" t="s">
        <v>894</v>
      </c>
      <c r="V1641" s="1" t="s">
        <v>895</v>
      </c>
      <c r="W1641" s="1" t="s">
        <v>113</v>
      </c>
      <c r="X1641" s="1"/>
      <c r="Y1641" s="1"/>
      <c r="Z1641" s="1" t="s">
        <v>147</v>
      </c>
      <c r="AA1641" s="1" t="s">
        <v>6817</v>
      </c>
      <c r="AB1641" s="1" t="str">
        <f>"***376934**"</f>
        <v>***376934**</v>
      </c>
      <c r="AC1641" s="1"/>
      <c r="AD1641" s="1" t="s">
        <v>149</v>
      </c>
      <c r="AE1641" s="1"/>
      <c r="AF1641" s="1">
        <v>-41.411114</v>
      </c>
      <c r="AG1641" s="1">
        <v>-7.078889</v>
      </c>
      <c r="AH1641" s="1" t="s">
        <v>6818</v>
      </c>
      <c r="AI1641" s="1"/>
      <c r="AJ1641" s="1" t="s">
        <v>898</v>
      </c>
      <c r="AK1641" s="1"/>
      <c r="AL1641" s="1"/>
      <c r="AM1641" s="1" t="s">
        <v>65</v>
      </c>
      <c r="AN1641" s="1" t="s">
        <v>152</v>
      </c>
      <c r="AO1641" s="1"/>
      <c r="AP1641" s="2">
        <v>44050.7599189815</v>
      </c>
      <c r="AQ1641" s="1"/>
      <c r="AR1641" s="1" t="s">
        <v>280</v>
      </c>
      <c r="AS1641" s="1"/>
      <c r="AT1641" s="2">
        <v>44269.931099537</v>
      </c>
    </row>
    <row r="1642" ht="13.5" customHeight="1">
      <c r="A1642" s="1">
        <v>2039557.0</v>
      </c>
      <c r="B1642" s="1" t="s">
        <v>67</v>
      </c>
      <c r="C1642" s="1" t="s">
        <v>68</v>
      </c>
      <c r="D1642" s="1" t="s">
        <v>46</v>
      </c>
      <c r="E1642" s="1" t="s">
        <v>6819</v>
      </c>
      <c r="F1642" s="1"/>
      <c r="G1642" s="1" t="s">
        <v>70</v>
      </c>
      <c r="H1642" s="1" t="s">
        <v>93</v>
      </c>
      <c r="I1642" s="1">
        <v>3500.0</v>
      </c>
      <c r="J1642" s="1"/>
      <c r="K1642" s="1"/>
      <c r="L1642" s="1" t="s">
        <v>291</v>
      </c>
      <c r="M1642" s="1" t="s">
        <v>6820</v>
      </c>
      <c r="N1642" s="1" t="s">
        <v>95</v>
      </c>
      <c r="O1642" s="1" t="s">
        <v>96</v>
      </c>
      <c r="P1642" s="2">
        <v>43770.3333333333</v>
      </c>
      <c r="Q1642" s="1" t="s">
        <v>74</v>
      </c>
      <c r="R1642" s="3">
        <v>43782.0</v>
      </c>
      <c r="S1642" s="1"/>
      <c r="T1642" s="1">
        <v>3302106.0</v>
      </c>
      <c r="U1642" s="1" t="s">
        <v>2074</v>
      </c>
      <c r="V1642" s="1" t="s">
        <v>287</v>
      </c>
      <c r="W1642" s="1" t="s">
        <v>59</v>
      </c>
      <c r="X1642" s="1"/>
      <c r="Y1642" s="1" t="str">
        <f>"02022003395202021"</f>
        <v>02022003395202021</v>
      </c>
      <c r="Z1642" s="1" t="s">
        <v>98</v>
      </c>
      <c r="AA1642" s="1" t="s">
        <v>6821</v>
      </c>
      <c r="AB1642" s="1" t="str">
        <f>"***621577**"</f>
        <v>***621577**</v>
      </c>
      <c r="AC1642" s="1"/>
      <c r="AD1642" s="1"/>
      <c r="AE1642" s="1"/>
      <c r="AF1642" s="1">
        <v>-42.074165</v>
      </c>
      <c r="AG1642" s="1">
        <v>-21.669443</v>
      </c>
      <c r="AH1642" s="1" t="s">
        <v>6822</v>
      </c>
      <c r="AI1642" s="1"/>
      <c r="AJ1642" s="1" t="s">
        <v>291</v>
      </c>
      <c r="AK1642" s="1"/>
      <c r="AL1642" s="1" t="s">
        <v>79</v>
      </c>
      <c r="AM1642" s="1" t="s">
        <v>65</v>
      </c>
      <c r="AN1642" s="1" t="s">
        <v>4477</v>
      </c>
      <c r="AO1642" s="2">
        <v>44067.0</v>
      </c>
      <c r="AP1642" s="2">
        <v>44067.4707407408</v>
      </c>
      <c r="AQ1642" s="1" t="s">
        <v>80</v>
      </c>
      <c r="AR1642" s="1" t="s">
        <v>6823</v>
      </c>
      <c r="AS1642" s="1"/>
      <c r="AT1642" s="2">
        <v>44269.931099537</v>
      </c>
    </row>
    <row r="1643" ht="13.5" customHeight="1">
      <c r="A1643" s="1"/>
      <c r="B1643" s="1" t="s">
        <v>46</v>
      </c>
      <c r="C1643" s="1" t="s">
        <v>47</v>
      </c>
      <c r="D1643" s="1"/>
      <c r="E1643" s="1" t="s">
        <v>6824</v>
      </c>
      <c r="F1643" s="1"/>
      <c r="G1643" s="1"/>
      <c r="H1643" s="1" t="s">
        <v>93</v>
      </c>
      <c r="I1643" s="1">
        <v>2225000.0</v>
      </c>
      <c r="J1643" s="1"/>
      <c r="K1643" s="1"/>
      <c r="L1643" s="1"/>
      <c r="M1643" s="1" t="s">
        <v>6825</v>
      </c>
      <c r="N1643" s="1" t="s">
        <v>142</v>
      </c>
      <c r="O1643" s="1" t="s">
        <v>143</v>
      </c>
      <c r="P1643" s="2">
        <v>43769.8675810185</v>
      </c>
      <c r="Q1643" s="1" t="s">
        <v>74</v>
      </c>
      <c r="R1643" s="3">
        <v>43774.0</v>
      </c>
      <c r="S1643" s="1"/>
      <c r="T1643" s="1">
        <v>1507300.0</v>
      </c>
      <c r="U1643" s="1" t="s">
        <v>3161</v>
      </c>
      <c r="V1643" s="1" t="s">
        <v>193</v>
      </c>
      <c r="W1643" s="1" t="s">
        <v>177</v>
      </c>
      <c r="X1643" s="1"/>
      <c r="Y1643" s="1"/>
      <c r="Z1643" s="1" t="s">
        <v>147</v>
      </c>
      <c r="AA1643" s="1" t="s">
        <v>6826</v>
      </c>
      <c r="AB1643" s="1" t="str">
        <f>"***669152**"</f>
        <v>***669152**</v>
      </c>
      <c r="AC1643" s="1"/>
      <c r="AD1643" s="1" t="s">
        <v>116</v>
      </c>
      <c r="AE1643" s="1"/>
      <c r="AF1643" s="1">
        <v>-51.466946</v>
      </c>
      <c r="AG1643" s="1">
        <v>-5.793611</v>
      </c>
      <c r="AH1643" s="1" t="s">
        <v>6827</v>
      </c>
      <c r="AI1643" s="1"/>
      <c r="AJ1643" s="1" t="s">
        <v>172</v>
      </c>
      <c r="AK1643" s="1"/>
      <c r="AL1643" s="1"/>
      <c r="AM1643" s="1" t="s">
        <v>65</v>
      </c>
      <c r="AN1643" s="1" t="s">
        <v>2164</v>
      </c>
      <c r="AO1643" s="1"/>
      <c r="AP1643" s="2">
        <v>43770.7904398148</v>
      </c>
      <c r="AQ1643" s="1"/>
      <c r="AR1643" s="1" t="s">
        <v>3478</v>
      </c>
      <c r="AS1643" s="1"/>
      <c r="AT1643" s="2">
        <v>44269.931099537</v>
      </c>
    </row>
    <row r="1644" ht="13.5" customHeight="1">
      <c r="A1644" s="1"/>
      <c r="B1644" s="1" t="s">
        <v>46</v>
      </c>
      <c r="C1644" s="1" t="s">
        <v>47</v>
      </c>
      <c r="D1644" s="1"/>
      <c r="E1644" s="1" t="s">
        <v>6828</v>
      </c>
      <c r="F1644" s="1"/>
      <c r="G1644" s="1" t="s">
        <v>49</v>
      </c>
      <c r="H1644" s="1" t="s">
        <v>50</v>
      </c>
      <c r="I1644" s="1">
        <v>11500.0</v>
      </c>
      <c r="J1644" s="1"/>
      <c r="K1644" s="1" t="s">
        <v>51</v>
      </c>
      <c r="L1644" s="1"/>
      <c r="M1644" s="1" t="s">
        <v>6829</v>
      </c>
      <c r="N1644" s="1" t="s">
        <v>283</v>
      </c>
      <c r="O1644" s="1" t="s">
        <v>1133</v>
      </c>
      <c r="P1644" s="2">
        <v>43769.7772222222</v>
      </c>
      <c r="Q1644" s="1" t="s">
        <v>74</v>
      </c>
      <c r="R1644" s="3">
        <v>43769.0</v>
      </c>
      <c r="S1644" s="1"/>
      <c r="T1644" s="1">
        <v>2211001.0</v>
      </c>
      <c r="U1644" s="1" t="s">
        <v>1667</v>
      </c>
      <c r="V1644" s="1" t="s">
        <v>895</v>
      </c>
      <c r="W1644" s="1" t="s">
        <v>113</v>
      </c>
      <c r="X1644" s="1"/>
      <c r="Y1644" s="1"/>
      <c r="Z1644" s="1" t="s">
        <v>128</v>
      </c>
      <c r="AA1644" s="1" t="s">
        <v>6830</v>
      </c>
      <c r="AB1644" s="1" t="str">
        <f>"01658618000106"</f>
        <v>01658618000106</v>
      </c>
      <c r="AC1644" s="1"/>
      <c r="AD1644" s="1" t="s">
        <v>149</v>
      </c>
      <c r="AE1644" s="1"/>
      <c r="AF1644" s="1">
        <v>-42.78389</v>
      </c>
      <c r="AG1644" s="1">
        <v>-5.065</v>
      </c>
      <c r="AH1644" s="1" t="s">
        <v>6831</v>
      </c>
      <c r="AI1644" s="1"/>
      <c r="AJ1644" s="1" t="s">
        <v>898</v>
      </c>
      <c r="AK1644" s="1"/>
      <c r="AL1644" s="1"/>
      <c r="AM1644" s="1" t="s">
        <v>65</v>
      </c>
      <c r="AN1644" s="1" t="s">
        <v>152</v>
      </c>
      <c r="AO1644" s="1"/>
      <c r="AP1644" s="2">
        <v>44055.7670949074</v>
      </c>
      <c r="AQ1644" s="1"/>
      <c r="AR1644" s="1" t="s">
        <v>4956</v>
      </c>
      <c r="AS1644" s="1"/>
      <c r="AT1644" s="2">
        <v>44269.931099537</v>
      </c>
    </row>
    <row r="1645" ht="13.5" customHeight="1">
      <c r="A1645" s="1">
        <v>2036268.0</v>
      </c>
      <c r="B1645" s="1" t="s">
        <v>67</v>
      </c>
      <c r="C1645" s="1" t="s">
        <v>68</v>
      </c>
      <c r="D1645" s="1" t="s">
        <v>46</v>
      </c>
      <c r="E1645" s="1" t="s">
        <v>6832</v>
      </c>
      <c r="F1645" s="1"/>
      <c r="G1645" s="1" t="s">
        <v>70</v>
      </c>
      <c r="H1645" s="1" t="s">
        <v>50</v>
      </c>
      <c r="I1645" s="1">
        <v>2920.0</v>
      </c>
      <c r="J1645" s="1"/>
      <c r="K1645" s="1"/>
      <c r="L1645" s="1" t="s">
        <v>151</v>
      </c>
      <c r="M1645" s="1" t="s">
        <v>6833</v>
      </c>
      <c r="N1645" s="1" t="s">
        <v>53</v>
      </c>
      <c r="O1645" s="1" t="s">
        <v>54</v>
      </c>
      <c r="P1645" s="2">
        <v>43769.75</v>
      </c>
      <c r="Q1645" s="1" t="s">
        <v>373</v>
      </c>
      <c r="R1645" s="3">
        <v>43769.0</v>
      </c>
      <c r="S1645" s="1"/>
      <c r="T1645" s="1">
        <v>4311759.0</v>
      </c>
      <c r="U1645" s="1" t="s">
        <v>6834</v>
      </c>
      <c r="V1645" s="1" t="s">
        <v>145</v>
      </c>
      <c r="W1645" s="1" t="s">
        <v>146</v>
      </c>
      <c r="X1645" s="1"/>
      <c r="Y1645" s="1" t="str">
        <f>"02023000138202028"</f>
        <v>02023000138202028</v>
      </c>
      <c r="Z1645" s="1" t="s">
        <v>60</v>
      </c>
      <c r="AA1645" s="1" t="s">
        <v>6835</v>
      </c>
      <c r="AB1645" s="1" t="str">
        <f>"***921500**"</f>
        <v>***921500**</v>
      </c>
      <c r="AC1645" s="1"/>
      <c r="AD1645" s="1" t="s">
        <v>116</v>
      </c>
      <c r="AE1645" s="1"/>
      <c r="AF1645" s="1">
        <v>-55.479444</v>
      </c>
      <c r="AG1645" s="1">
        <v>-29.591944</v>
      </c>
      <c r="AH1645" s="1" t="s">
        <v>6836</v>
      </c>
      <c r="AI1645" s="1"/>
      <c r="AJ1645" s="1" t="s">
        <v>151</v>
      </c>
      <c r="AK1645" s="1" t="s">
        <v>6837</v>
      </c>
      <c r="AL1645" s="1" t="s">
        <v>79</v>
      </c>
      <c r="AM1645" s="1" t="s">
        <v>65</v>
      </c>
      <c r="AN1645" s="1" t="s">
        <v>6837</v>
      </c>
      <c r="AO1645" s="2">
        <v>43943.0</v>
      </c>
      <c r="AP1645" s="2">
        <v>44057.6583564815</v>
      </c>
      <c r="AQ1645" s="1" t="s">
        <v>80</v>
      </c>
      <c r="AR1645" s="1" t="s">
        <v>6838</v>
      </c>
      <c r="AS1645" s="1"/>
      <c r="AT1645" s="2">
        <v>44269.931099537</v>
      </c>
    </row>
    <row r="1646" ht="13.5" customHeight="1">
      <c r="A1646" s="1">
        <v>2036271.0</v>
      </c>
      <c r="B1646" s="1" t="s">
        <v>67</v>
      </c>
      <c r="C1646" s="1" t="s">
        <v>68</v>
      </c>
      <c r="D1646" s="1" t="s">
        <v>46</v>
      </c>
      <c r="E1646" s="1" t="s">
        <v>6839</v>
      </c>
      <c r="F1646" s="1"/>
      <c r="G1646" s="1" t="s">
        <v>70</v>
      </c>
      <c r="H1646" s="1" t="s">
        <v>50</v>
      </c>
      <c r="I1646" s="1">
        <v>6720.0</v>
      </c>
      <c r="J1646" s="1"/>
      <c r="K1646" s="1"/>
      <c r="L1646" s="1" t="s">
        <v>151</v>
      </c>
      <c r="M1646" s="1" t="s">
        <v>6840</v>
      </c>
      <c r="N1646" s="1" t="s">
        <v>53</v>
      </c>
      <c r="O1646" s="1" t="s">
        <v>54</v>
      </c>
      <c r="P1646" s="2">
        <v>43769.625</v>
      </c>
      <c r="Q1646" s="1" t="s">
        <v>373</v>
      </c>
      <c r="R1646" s="3">
        <v>43769.0</v>
      </c>
      <c r="S1646" s="1"/>
      <c r="T1646" s="1">
        <v>4300406.0</v>
      </c>
      <c r="U1646" s="1" t="s">
        <v>1640</v>
      </c>
      <c r="V1646" s="1" t="s">
        <v>145</v>
      </c>
      <c r="W1646" s="1" t="s">
        <v>146</v>
      </c>
      <c r="X1646" s="1"/>
      <c r="Y1646" s="1"/>
      <c r="Z1646" s="1" t="s">
        <v>60</v>
      </c>
      <c r="AA1646" s="1" t="s">
        <v>6841</v>
      </c>
      <c r="AB1646" s="1" t="str">
        <f>"05926652000175"</f>
        <v>05926652000175</v>
      </c>
      <c r="AC1646" s="1"/>
      <c r="AD1646" s="1"/>
      <c r="AE1646" s="1"/>
      <c r="AF1646" s="1">
        <v>-55.803612</v>
      </c>
      <c r="AG1646" s="1">
        <v>-29.798332</v>
      </c>
      <c r="AH1646" s="1" t="s">
        <v>6842</v>
      </c>
      <c r="AI1646" s="1"/>
      <c r="AJ1646" s="1" t="s">
        <v>151</v>
      </c>
      <c r="AK1646" s="1"/>
      <c r="AL1646" s="1" t="s">
        <v>79</v>
      </c>
      <c r="AM1646" s="1" t="s">
        <v>65</v>
      </c>
      <c r="AN1646" s="1" t="s">
        <v>6837</v>
      </c>
      <c r="AO1646" s="2">
        <v>43943.0</v>
      </c>
      <c r="AP1646" s="2">
        <v>43943.7706712963</v>
      </c>
      <c r="AQ1646" s="1" t="s">
        <v>80</v>
      </c>
      <c r="AR1646" s="1" t="s">
        <v>6838</v>
      </c>
      <c r="AS1646" s="1"/>
      <c r="AT1646" s="2">
        <v>44269.931099537</v>
      </c>
    </row>
    <row r="1647" ht="13.5" customHeight="1">
      <c r="A1647" s="1">
        <v>2038851.0</v>
      </c>
      <c r="B1647" s="1" t="s">
        <v>67</v>
      </c>
      <c r="C1647" s="1" t="s">
        <v>68</v>
      </c>
      <c r="D1647" s="1" t="s">
        <v>46</v>
      </c>
      <c r="E1647" s="1" t="s">
        <v>6843</v>
      </c>
      <c r="F1647" s="1"/>
      <c r="G1647" s="1" t="s">
        <v>70</v>
      </c>
      <c r="H1647" s="1" t="s">
        <v>93</v>
      </c>
      <c r="I1647" s="1">
        <v>495000.0</v>
      </c>
      <c r="J1647" s="1"/>
      <c r="K1647" s="1"/>
      <c r="L1647" s="1" t="s">
        <v>172</v>
      </c>
      <c r="M1647" s="1" t="s">
        <v>6844</v>
      </c>
      <c r="N1647" s="1" t="s">
        <v>142</v>
      </c>
      <c r="O1647" s="1" t="s">
        <v>143</v>
      </c>
      <c r="P1647" s="2">
        <v>43769.5833333333</v>
      </c>
      <c r="Q1647" s="1" t="s">
        <v>74</v>
      </c>
      <c r="R1647" s="3">
        <v>43767.0</v>
      </c>
      <c r="S1647" s="1"/>
      <c r="T1647" s="1">
        <v>1507300.0</v>
      </c>
      <c r="U1647" s="1" t="s">
        <v>3161</v>
      </c>
      <c r="V1647" s="1" t="s">
        <v>193</v>
      </c>
      <c r="W1647" s="1" t="s">
        <v>177</v>
      </c>
      <c r="X1647" s="1"/>
      <c r="Y1647" s="1" t="str">
        <f>"02001017768202090"</f>
        <v>02001017768202090</v>
      </c>
      <c r="Z1647" s="1" t="s">
        <v>147</v>
      </c>
      <c r="AA1647" s="1" t="s">
        <v>6845</v>
      </c>
      <c r="AB1647" s="1" t="str">
        <f>"***775371**"</f>
        <v>***775371**</v>
      </c>
      <c r="AC1647" s="1"/>
      <c r="AD1647" s="1"/>
      <c r="AE1647" s="1"/>
      <c r="AF1647" s="1">
        <v>-53.091389</v>
      </c>
      <c r="AG1647" s="1">
        <v>-6.1225</v>
      </c>
      <c r="AH1647" s="1" t="s">
        <v>3161</v>
      </c>
      <c r="AI1647" s="1"/>
      <c r="AJ1647" s="1" t="s">
        <v>172</v>
      </c>
      <c r="AK1647" s="1"/>
      <c r="AL1647" s="1" t="s">
        <v>79</v>
      </c>
      <c r="AM1647" s="1" t="s">
        <v>65</v>
      </c>
      <c r="AN1647" s="1" t="s">
        <v>6258</v>
      </c>
      <c r="AO1647" s="2">
        <v>44047.0</v>
      </c>
      <c r="AP1647" s="2">
        <v>44047.3556134259</v>
      </c>
      <c r="AQ1647" s="1" t="s">
        <v>80</v>
      </c>
      <c r="AR1647" s="1" t="s">
        <v>650</v>
      </c>
      <c r="AS1647" s="1"/>
      <c r="AT1647" s="2">
        <v>44269.931099537</v>
      </c>
    </row>
    <row r="1648" ht="13.5" customHeight="1">
      <c r="A1648" s="1"/>
      <c r="B1648" s="1" t="s">
        <v>46</v>
      </c>
      <c r="C1648" s="1" t="s">
        <v>47</v>
      </c>
      <c r="D1648" s="1"/>
      <c r="E1648" s="1" t="s">
        <v>6846</v>
      </c>
      <c r="F1648" s="1"/>
      <c r="G1648" s="1"/>
      <c r="H1648" s="1" t="s">
        <v>93</v>
      </c>
      <c r="I1648" s="1">
        <v>17500.0</v>
      </c>
      <c r="J1648" s="1"/>
      <c r="K1648" s="1"/>
      <c r="L1648" s="1"/>
      <c r="M1648" s="1" t="s">
        <v>6847</v>
      </c>
      <c r="N1648" s="1" t="s">
        <v>95</v>
      </c>
      <c r="O1648" s="1" t="s">
        <v>96</v>
      </c>
      <c r="P1648" s="2">
        <v>43769.5549074074</v>
      </c>
      <c r="Q1648" s="1" t="s">
        <v>373</v>
      </c>
      <c r="R1648" s="1"/>
      <c r="S1648" s="1"/>
      <c r="T1648" s="1">
        <v>3113404.0</v>
      </c>
      <c r="U1648" s="1" t="s">
        <v>6848</v>
      </c>
      <c r="V1648" s="1" t="s">
        <v>126</v>
      </c>
      <c r="W1648" s="1" t="s">
        <v>127</v>
      </c>
      <c r="X1648" s="1"/>
      <c r="Y1648" s="1"/>
      <c r="Z1648" s="1" t="s">
        <v>98</v>
      </c>
      <c r="AA1648" s="1" t="s">
        <v>6849</v>
      </c>
      <c r="AB1648" s="1" t="str">
        <f>"***782356**"</f>
        <v>***782356**</v>
      </c>
      <c r="AC1648" s="1"/>
      <c r="AD1648" s="1" t="s">
        <v>62</v>
      </c>
      <c r="AE1648" s="1"/>
      <c r="AF1648" s="1">
        <v>-42.129166</v>
      </c>
      <c r="AG1648" s="1">
        <v>-19.782499</v>
      </c>
      <c r="AH1648" s="1" t="s">
        <v>6850</v>
      </c>
      <c r="AI1648" s="1"/>
      <c r="AJ1648" s="1" t="s">
        <v>131</v>
      </c>
      <c r="AK1648" s="1"/>
      <c r="AL1648" s="1"/>
      <c r="AM1648" s="1" t="s">
        <v>65</v>
      </c>
      <c r="AN1648" s="1" t="s">
        <v>6851</v>
      </c>
      <c r="AO1648" s="1"/>
      <c r="AP1648" s="2">
        <v>43769.5756712963</v>
      </c>
      <c r="AQ1648" s="1"/>
      <c r="AR1648" s="1" t="s">
        <v>6852</v>
      </c>
      <c r="AS1648" s="1"/>
      <c r="AT1648" s="2">
        <v>44269.931099537</v>
      </c>
    </row>
    <row r="1649" ht="13.5" customHeight="1">
      <c r="A1649" s="1">
        <v>2038216.0</v>
      </c>
      <c r="B1649" s="1" t="s">
        <v>67</v>
      </c>
      <c r="C1649" s="1" t="s">
        <v>68</v>
      </c>
      <c r="D1649" s="1" t="s">
        <v>46</v>
      </c>
      <c r="E1649" s="1" t="s">
        <v>6853</v>
      </c>
      <c r="F1649" s="1"/>
      <c r="G1649" s="1" t="s">
        <v>70</v>
      </c>
      <c r="H1649" s="1" t="s">
        <v>93</v>
      </c>
      <c r="I1649" s="1">
        <v>5725000.0</v>
      </c>
      <c r="J1649" s="1"/>
      <c r="K1649" s="1"/>
      <c r="L1649" s="1" t="s">
        <v>172</v>
      </c>
      <c r="M1649" s="1" t="s">
        <v>6854</v>
      </c>
      <c r="N1649" s="1" t="s">
        <v>142</v>
      </c>
      <c r="O1649" s="1" t="s">
        <v>143</v>
      </c>
      <c r="P1649" s="2">
        <v>43769.5416666667</v>
      </c>
      <c r="Q1649" s="1" t="s">
        <v>74</v>
      </c>
      <c r="R1649" s="3">
        <v>43769.0</v>
      </c>
      <c r="S1649" s="1"/>
      <c r="T1649" s="1">
        <v>1507300.0</v>
      </c>
      <c r="U1649" s="1" t="s">
        <v>3161</v>
      </c>
      <c r="V1649" s="1" t="s">
        <v>193</v>
      </c>
      <c r="W1649" s="1" t="s">
        <v>177</v>
      </c>
      <c r="X1649" s="1"/>
      <c r="Y1649" s="1" t="str">
        <f>"02001003117202012"</f>
        <v>02001003117202012</v>
      </c>
      <c r="Z1649" s="1" t="s">
        <v>147</v>
      </c>
      <c r="AA1649" s="1" t="s">
        <v>6855</v>
      </c>
      <c r="AB1649" s="1" t="str">
        <f t="shared" ref="AB1649:AB1650" si="99">"***735658**"</f>
        <v>***735658**</v>
      </c>
      <c r="AC1649" s="1"/>
      <c r="AD1649" s="1"/>
      <c r="AE1649" s="1"/>
      <c r="AF1649" s="1">
        <v>-52.559166</v>
      </c>
      <c r="AG1649" s="1">
        <v>-6.140555</v>
      </c>
      <c r="AH1649" s="1" t="s">
        <v>6856</v>
      </c>
      <c r="AI1649" s="1"/>
      <c r="AJ1649" s="1" t="s">
        <v>172</v>
      </c>
      <c r="AK1649" s="1"/>
      <c r="AL1649" s="1" t="s">
        <v>79</v>
      </c>
      <c r="AM1649" s="1" t="s">
        <v>65</v>
      </c>
      <c r="AN1649" s="1" t="s">
        <v>6258</v>
      </c>
      <c r="AO1649" s="2">
        <v>44027.0</v>
      </c>
      <c r="AP1649" s="2">
        <v>44027.6743402778</v>
      </c>
      <c r="AQ1649" s="1" t="s">
        <v>80</v>
      </c>
      <c r="AR1649" s="1" t="s">
        <v>6857</v>
      </c>
      <c r="AS1649" s="1"/>
      <c r="AT1649" s="2">
        <v>44269.931099537</v>
      </c>
    </row>
    <row r="1650" ht="13.5" customHeight="1">
      <c r="A1650" s="1">
        <v>2039154.0</v>
      </c>
      <c r="B1650" s="1" t="s">
        <v>67</v>
      </c>
      <c r="C1650" s="1" t="s">
        <v>68</v>
      </c>
      <c r="D1650" s="1" t="s">
        <v>46</v>
      </c>
      <c r="E1650" s="1" t="s">
        <v>6858</v>
      </c>
      <c r="F1650" s="1"/>
      <c r="G1650" s="1" t="s">
        <v>70</v>
      </c>
      <c r="H1650" s="1" t="s">
        <v>50</v>
      </c>
      <c r="I1650" s="1">
        <v>1000000.0</v>
      </c>
      <c r="J1650" s="1"/>
      <c r="K1650" s="1"/>
      <c r="L1650" s="1" t="s">
        <v>172</v>
      </c>
      <c r="M1650" s="1" t="s">
        <v>6859</v>
      </c>
      <c r="N1650" s="1" t="s">
        <v>142</v>
      </c>
      <c r="O1650" s="1" t="s">
        <v>143</v>
      </c>
      <c r="P1650" s="2">
        <v>43769.5416666667</v>
      </c>
      <c r="Q1650" s="1" t="s">
        <v>74</v>
      </c>
      <c r="R1650" s="3">
        <v>43768.0</v>
      </c>
      <c r="S1650" s="1"/>
      <c r="T1650" s="1">
        <v>1507300.0</v>
      </c>
      <c r="U1650" s="1" t="s">
        <v>3161</v>
      </c>
      <c r="V1650" s="1" t="s">
        <v>193</v>
      </c>
      <c r="W1650" s="1" t="s">
        <v>177</v>
      </c>
      <c r="X1650" s="1"/>
      <c r="Y1650" s="1" t="str">
        <f>"02001018488202007"</f>
        <v>02001018488202007</v>
      </c>
      <c r="Z1650" s="1" t="s">
        <v>147</v>
      </c>
      <c r="AA1650" s="1" t="s">
        <v>6855</v>
      </c>
      <c r="AB1650" s="1" t="str">
        <f t="shared" si="99"/>
        <v>***735658**</v>
      </c>
      <c r="AC1650" s="1"/>
      <c r="AD1650" s="1"/>
      <c r="AE1650" s="1"/>
      <c r="AF1650" s="1">
        <v>-52.559166</v>
      </c>
      <c r="AG1650" s="1">
        <v>-6.140555</v>
      </c>
      <c r="AH1650" s="1" t="s">
        <v>6856</v>
      </c>
      <c r="AI1650" s="1"/>
      <c r="AJ1650" s="1" t="s">
        <v>172</v>
      </c>
      <c r="AK1650" s="1"/>
      <c r="AL1650" s="1" t="s">
        <v>79</v>
      </c>
      <c r="AM1650" s="1" t="s">
        <v>65</v>
      </c>
      <c r="AN1650" s="1" t="s">
        <v>6258</v>
      </c>
      <c r="AO1650" s="2">
        <v>44055.0</v>
      </c>
      <c r="AP1650" s="2">
        <v>44055.6121875</v>
      </c>
      <c r="AQ1650" s="1" t="s">
        <v>80</v>
      </c>
      <c r="AR1650" s="1" t="s">
        <v>1607</v>
      </c>
      <c r="AS1650" s="1"/>
      <c r="AT1650" s="2">
        <v>44269.931099537</v>
      </c>
    </row>
    <row r="1651" ht="13.5" customHeight="1">
      <c r="A1651" s="1"/>
      <c r="B1651" s="1" t="s">
        <v>46</v>
      </c>
      <c r="C1651" s="1" t="s">
        <v>47</v>
      </c>
      <c r="D1651" s="1"/>
      <c r="E1651" s="1" t="s">
        <v>6860</v>
      </c>
      <c r="F1651" s="1"/>
      <c r="G1651" s="1" t="s">
        <v>49</v>
      </c>
      <c r="H1651" s="1" t="s">
        <v>50</v>
      </c>
      <c r="I1651" s="1">
        <v>1000.0</v>
      </c>
      <c r="J1651" s="1"/>
      <c r="K1651" s="1" t="s">
        <v>51</v>
      </c>
      <c r="L1651" s="1"/>
      <c r="M1651" s="1" t="s">
        <v>6861</v>
      </c>
      <c r="N1651" s="1" t="s">
        <v>123</v>
      </c>
      <c r="O1651" s="1" t="s">
        <v>73</v>
      </c>
      <c r="P1651" s="2">
        <v>43769.5396180556</v>
      </c>
      <c r="Q1651" s="1" t="s">
        <v>74</v>
      </c>
      <c r="R1651" s="3">
        <v>43798.0</v>
      </c>
      <c r="S1651" s="1"/>
      <c r="T1651" s="1">
        <v>3509502.0</v>
      </c>
      <c r="U1651" s="1" t="s">
        <v>97</v>
      </c>
      <c r="V1651" s="1" t="s">
        <v>58</v>
      </c>
      <c r="W1651" s="1" t="s">
        <v>59</v>
      </c>
      <c r="X1651" s="1"/>
      <c r="Y1651" s="1"/>
      <c r="Z1651" s="1" t="s">
        <v>76</v>
      </c>
      <c r="AA1651" s="1" t="s">
        <v>6862</v>
      </c>
      <c r="AB1651" s="1" t="str">
        <f t="shared" ref="AB1651:AB1652" si="100">"18720938000141"</f>
        <v>18720938000141</v>
      </c>
      <c r="AC1651" s="1"/>
      <c r="AD1651" s="1" t="s">
        <v>62</v>
      </c>
      <c r="AE1651" s="1"/>
      <c r="AF1651" s="1">
        <v>-47.144169</v>
      </c>
      <c r="AG1651" s="1">
        <v>-23.007778</v>
      </c>
      <c r="AH1651" s="1" t="s">
        <v>3543</v>
      </c>
      <c r="AI1651" s="1"/>
      <c r="AJ1651" s="1" t="s">
        <v>64</v>
      </c>
      <c r="AK1651" s="1"/>
      <c r="AL1651" s="1"/>
      <c r="AM1651" s="1" t="s">
        <v>65</v>
      </c>
      <c r="AN1651" s="1" t="s">
        <v>102</v>
      </c>
      <c r="AO1651" s="1"/>
      <c r="AP1651" s="2">
        <v>44183.7984027778</v>
      </c>
      <c r="AQ1651" s="1"/>
      <c r="AR1651" s="1" t="s">
        <v>494</v>
      </c>
      <c r="AS1651" s="1"/>
      <c r="AT1651" s="2">
        <v>44269.931099537</v>
      </c>
    </row>
    <row r="1652" ht="13.5" customHeight="1">
      <c r="A1652" s="1"/>
      <c r="B1652" s="1" t="s">
        <v>46</v>
      </c>
      <c r="C1652" s="1" t="s">
        <v>47</v>
      </c>
      <c r="D1652" s="1"/>
      <c r="E1652" s="1" t="s">
        <v>6863</v>
      </c>
      <c r="F1652" s="1"/>
      <c r="G1652" s="1" t="s">
        <v>5034</v>
      </c>
      <c r="H1652" s="1" t="s">
        <v>50</v>
      </c>
      <c r="I1652" s="1">
        <v>250.0</v>
      </c>
      <c r="J1652" s="1"/>
      <c r="K1652" s="1" t="s">
        <v>51</v>
      </c>
      <c r="L1652" s="1"/>
      <c r="M1652" s="1" t="s">
        <v>6864</v>
      </c>
      <c r="N1652" s="1" t="s">
        <v>977</v>
      </c>
      <c r="O1652" s="1" t="s">
        <v>978</v>
      </c>
      <c r="P1652" s="2">
        <v>43769.5304398148</v>
      </c>
      <c r="Q1652" s="1" t="s">
        <v>74</v>
      </c>
      <c r="R1652" s="3">
        <v>43798.0</v>
      </c>
      <c r="S1652" s="1"/>
      <c r="T1652" s="1">
        <v>3509502.0</v>
      </c>
      <c r="U1652" s="1" t="s">
        <v>97</v>
      </c>
      <c r="V1652" s="1" t="s">
        <v>58</v>
      </c>
      <c r="W1652" s="1" t="s">
        <v>59</v>
      </c>
      <c r="X1652" s="1"/>
      <c r="Y1652" s="1"/>
      <c r="Z1652" s="1" t="s">
        <v>980</v>
      </c>
      <c r="AA1652" s="1" t="s">
        <v>6862</v>
      </c>
      <c r="AB1652" s="1" t="str">
        <f t="shared" si="100"/>
        <v>18720938000141</v>
      </c>
      <c r="AC1652" s="1"/>
      <c r="AD1652" s="1" t="s">
        <v>149</v>
      </c>
      <c r="AE1652" s="1"/>
      <c r="AF1652" s="1">
        <v>-47.144169</v>
      </c>
      <c r="AG1652" s="1">
        <v>-23.007778</v>
      </c>
      <c r="AH1652" s="1" t="s">
        <v>3543</v>
      </c>
      <c r="AI1652" s="1"/>
      <c r="AJ1652" s="1" t="s">
        <v>64</v>
      </c>
      <c r="AK1652" s="1"/>
      <c r="AL1652" s="1"/>
      <c r="AM1652" s="1" t="s">
        <v>65</v>
      </c>
      <c r="AN1652" s="1" t="s">
        <v>102</v>
      </c>
      <c r="AO1652" s="1"/>
      <c r="AP1652" s="2">
        <v>44183.7985069444</v>
      </c>
      <c r="AQ1652" s="1"/>
      <c r="AR1652" s="1" t="s">
        <v>984</v>
      </c>
      <c r="AS1652" s="1"/>
      <c r="AT1652" s="2">
        <v>44269.931099537</v>
      </c>
    </row>
    <row r="1653" ht="13.5" customHeight="1">
      <c r="A1653" s="1"/>
      <c r="B1653" s="1" t="s">
        <v>46</v>
      </c>
      <c r="C1653" s="1" t="s">
        <v>47</v>
      </c>
      <c r="D1653" s="1"/>
      <c r="E1653" s="1" t="s">
        <v>6865</v>
      </c>
      <c r="F1653" s="1"/>
      <c r="G1653" s="1" t="s">
        <v>49</v>
      </c>
      <c r="H1653" s="1" t="s">
        <v>93</v>
      </c>
      <c r="I1653" s="1">
        <v>8482.2</v>
      </c>
      <c r="J1653" s="1"/>
      <c r="K1653" s="1"/>
      <c r="L1653" s="1"/>
      <c r="M1653" s="1" t="s">
        <v>6866</v>
      </c>
      <c r="N1653" s="1" t="s">
        <v>142</v>
      </c>
      <c r="O1653" s="1" t="s">
        <v>143</v>
      </c>
      <c r="P1653" s="2">
        <v>43769.5260069444</v>
      </c>
      <c r="Q1653" s="1" t="s">
        <v>373</v>
      </c>
      <c r="R1653" s="1"/>
      <c r="S1653" s="1"/>
      <c r="T1653" s="1">
        <v>2105302.0</v>
      </c>
      <c r="U1653" s="1" t="s">
        <v>539</v>
      </c>
      <c r="V1653" s="1" t="s">
        <v>540</v>
      </c>
      <c r="W1653" s="1" t="s">
        <v>177</v>
      </c>
      <c r="X1653" s="1"/>
      <c r="Y1653" s="1"/>
      <c r="Z1653" s="1" t="s">
        <v>147</v>
      </c>
      <c r="AA1653" s="1" t="s">
        <v>6867</v>
      </c>
      <c r="AB1653" s="1" t="str">
        <f>"***388524**"</f>
        <v>***388524**</v>
      </c>
      <c r="AC1653" s="1"/>
      <c r="AD1653" s="1" t="s">
        <v>62</v>
      </c>
      <c r="AE1653" s="1"/>
      <c r="AF1653" s="1"/>
      <c r="AG1653" s="1"/>
      <c r="AH1653" s="1" t="s">
        <v>6868</v>
      </c>
      <c r="AI1653" s="1"/>
      <c r="AJ1653" s="1" t="s">
        <v>6400</v>
      </c>
      <c r="AK1653" s="1"/>
      <c r="AL1653" s="1"/>
      <c r="AM1653" s="1" t="s">
        <v>65</v>
      </c>
      <c r="AN1653" s="1" t="s">
        <v>152</v>
      </c>
      <c r="AO1653" s="1"/>
      <c r="AP1653" s="2">
        <v>44151.9448032407</v>
      </c>
      <c r="AQ1653" s="1"/>
      <c r="AR1653" s="1" t="s">
        <v>280</v>
      </c>
      <c r="AS1653" s="1"/>
      <c r="AT1653" s="2">
        <v>44269.931099537</v>
      </c>
    </row>
    <row r="1654" ht="13.5" customHeight="1">
      <c r="A1654" s="1"/>
      <c r="B1654" s="1" t="s">
        <v>46</v>
      </c>
      <c r="C1654" s="1" t="s">
        <v>47</v>
      </c>
      <c r="D1654" s="1"/>
      <c r="E1654" s="1" t="s">
        <v>6869</v>
      </c>
      <c r="F1654" s="1"/>
      <c r="G1654" s="1"/>
      <c r="H1654" s="1" t="s">
        <v>93</v>
      </c>
      <c r="I1654" s="1">
        <v>46500.0</v>
      </c>
      <c r="J1654" s="1"/>
      <c r="K1654" s="1"/>
      <c r="L1654" s="1"/>
      <c r="M1654" s="1" t="s">
        <v>6870</v>
      </c>
      <c r="N1654" s="1" t="s">
        <v>95</v>
      </c>
      <c r="O1654" s="1" t="s">
        <v>96</v>
      </c>
      <c r="P1654" s="2">
        <v>43769.4978009259</v>
      </c>
      <c r="Q1654" s="1" t="s">
        <v>373</v>
      </c>
      <c r="R1654" s="1"/>
      <c r="S1654" s="1"/>
      <c r="T1654" s="1">
        <v>3148103.0</v>
      </c>
      <c r="U1654" s="1" t="s">
        <v>246</v>
      </c>
      <c r="V1654" s="1" t="s">
        <v>126</v>
      </c>
      <c r="W1654" s="1" t="s">
        <v>127</v>
      </c>
      <c r="X1654" s="1"/>
      <c r="Y1654" s="1"/>
      <c r="Z1654" s="1" t="s">
        <v>98</v>
      </c>
      <c r="AA1654" s="1" t="s">
        <v>6871</v>
      </c>
      <c r="AB1654" s="1" t="str">
        <f>"***696966**"</f>
        <v>***696966**</v>
      </c>
      <c r="AC1654" s="1"/>
      <c r="AD1654" s="1" t="s">
        <v>62</v>
      </c>
      <c r="AE1654" s="1"/>
      <c r="AF1654" s="1">
        <v>-47.001945</v>
      </c>
      <c r="AG1654" s="1">
        <v>-18.930277</v>
      </c>
      <c r="AH1654" s="1" t="s">
        <v>6872</v>
      </c>
      <c r="AI1654" s="1"/>
      <c r="AJ1654" s="1" t="s">
        <v>244</v>
      </c>
      <c r="AK1654" s="1"/>
      <c r="AL1654" s="1"/>
      <c r="AM1654" s="1" t="s">
        <v>65</v>
      </c>
      <c r="AN1654" s="1" t="s">
        <v>6873</v>
      </c>
      <c r="AO1654" s="1"/>
      <c r="AP1654" s="2">
        <v>43769.5947106482</v>
      </c>
      <c r="AQ1654" s="1"/>
      <c r="AR1654" s="1" t="s">
        <v>6874</v>
      </c>
      <c r="AS1654" s="1"/>
      <c r="AT1654" s="2">
        <v>44269.931099537</v>
      </c>
    </row>
    <row r="1655" ht="13.5" customHeight="1">
      <c r="A1655" s="1"/>
      <c r="B1655" s="1" t="s">
        <v>46</v>
      </c>
      <c r="C1655" s="1" t="s">
        <v>47</v>
      </c>
      <c r="D1655" s="1"/>
      <c r="E1655" s="1" t="s">
        <v>6875</v>
      </c>
      <c r="F1655" s="1"/>
      <c r="G1655" s="1" t="s">
        <v>49</v>
      </c>
      <c r="H1655" s="1" t="s">
        <v>93</v>
      </c>
      <c r="I1655" s="1">
        <v>212500.0</v>
      </c>
      <c r="J1655" s="1"/>
      <c r="K1655" s="1"/>
      <c r="L1655" s="1"/>
      <c r="M1655" s="1" t="s">
        <v>6876</v>
      </c>
      <c r="N1655" s="1" t="s">
        <v>142</v>
      </c>
      <c r="O1655" s="1" t="s">
        <v>143</v>
      </c>
      <c r="P1655" s="2">
        <v>43769.4887152778</v>
      </c>
      <c r="Q1655" s="1" t="s">
        <v>74</v>
      </c>
      <c r="R1655" s="3">
        <v>43773.0</v>
      </c>
      <c r="S1655" s="1"/>
      <c r="T1655" s="1">
        <v>1507300.0</v>
      </c>
      <c r="U1655" s="1" t="s">
        <v>3161</v>
      </c>
      <c r="V1655" s="1" t="s">
        <v>193</v>
      </c>
      <c r="W1655" s="1" t="s">
        <v>177</v>
      </c>
      <c r="X1655" s="1"/>
      <c r="Y1655" s="1"/>
      <c r="Z1655" s="1" t="s">
        <v>147</v>
      </c>
      <c r="AA1655" s="1" t="s">
        <v>6877</v>
      </c>
      <c r="AB1655" s="1" t="str">
        <f t="shared" ref="AB1655:AB1657" si="101">"***671461**"</f>
        <v>***671461**</v>
      </c>
      <c r="AC1655" s="1"/>
      <c r="AD1655" s="1" t="s">
        <v>62</v>
      </c>
      <c r="AE1655" s="1"/>
      <c r="AF1655" s="1">
        <v>-52.559166</v>
      </c>
      <c r="AG1655" s="1">
        <v>-6.140555</v>
      </c>
      <c r="AH1655" s="1" t="s">
        <v>6856</v>
      </c>
      <c r="AI1655" s="1"/>
      <c r="AJ1655" s="1" t="s">
        <v>172</v>
      </c>
      <c r="AK1655" s="1"/>
      <c r="AL1655" s="1"/>
      <c r="AM1655" s="1" t="s">
        <v>65</v>
      </c>
      <c r="AN1655" s="1" t="s">
        <v>6258</v>
      </c>
      <c r="AO1655" s="1"/>
      <c r="AP1655" s="2">
        <v>44266.6157175926</v>
      </c>
      <c r="AQ1655" s="1"/>
      <c r="AR1655" s="1" t="s">
        <v>6878</v>
      </c>
      <c r="AS1655" s="1"/>
      <c r="AT1655" s="2">
        <v>44269.931099537</v>
      </c>
    </row>
    <row r="1656" ht="13.5" customHeight="1">
      <c r="A1656" s="1"/>
      <c r="B1656" s="1" t="s">
        <v>46</v>
      </c>
      <c r="C1656" s="1" t="s">
        <v>47</v>
      </c>
      <c r="D1656" s="1"/>
      <c r="E1656" s="1" t="s">
        <v>6879</v>
      </c>
      <c r="F1656" s="1"/>
      <c r="G1656" s="1" t="s">
        <v>49</v>
      </c>
      <c r="H1656" s="1" t="s">
        <v>93</v>
      </c>
      <c r="I1656" s="1">
        <v>5725000.0</v>
      </c>
      <c r="J1656" s="1"/>
      <c r="K1656" s="1"/>
      <c r="L1656" s="1"/>
      <c r="M1656" s="1" t="s">
        <v>6880</v>
      </c>
      <c r="N1656" s="1" t="s">
        <v>142</v>
      </c>
      <c r="O1656" s="1" t="s">
        <v>143</v>
      </c>
      <c r="P1656" s="2">
        <v>43769.4642013889</v>
      </c>
      <c r="Q1656" s="1" t="s">
        <v>74</v>
      </c>
      <c r="R1656" s="3">
        <v>43770.0</v>
      </c>
      <c r="S1656" s="1"/>
      <c r="T1656" s="1">
        <v>1507300.0</v>
      </c>
      <c r="U1656" s="1" t="s">
        <v>3161</v>
      </c>
      <c r="V1656" s="1" t="s">
        <v>193</v>
      </c>
      <c r="W1656" s="1" t="s">
        <v>177</v>
      </c>
      <c r="X1656" s="1"/>
      <c r="Y1656" s="1"/>
      <c r="Z1656" s="1" t="s">
        <v>147</v>
      </c>
      <c r="AA1656" s="1" t="s">
        <v>6877</v>
      </c>
      <c r="AB1656" s="1" t="str">
        <f t="shared" si="101"/>
        <v>***671461**</v>
      </c>
      <c r="AC1656" s="1"/>
      <c r="AD1656" s="1" t="s">
        <v>116</v>
      </c>
      <c r="AE1656" s="1"/>
      <c r="AF1656" s="1">
        <v>-52.559166</v>
      </c>
      <c r="AG1656" s="1">
        <v>-6.140555</v>
      </c>
      <c r="AH1656" s="1" t="s">
        <v>6856</v>
      </c>
      <c r="AI1656" s="1"/>
      <c r="AJ1656" s="1" t="s">
        <v>172</v>
      </c>
      <c r="AK1656" s="1"/>
      <c r="AL1656" s="1"/>
      <c r="AM1656" s="1" t="s">
        <v>65</v>
      </c>
      <c r="AN1656" s="1" t="s">
        <v>6258</v>
      </c>
      <c r="AO1656" s="1"/>
      <c r="AP1656" s="2">
        <v>44266.6181134259</v>
      </c>
      <c r="AQ1656" s="1"/>
      <c r="AR1656" s="1" t="s">
        <v>6137</v>
      </c>
      <c r="AS1656" s="1"/>
      <c r="AT1656" s="2">
        <v>44269.931099537</v>
      </c>
    </row>
    <row r="1657" ht="13.5" customHeight="1">
      <c r="A1657" s="1"/>
      <c r="B1657" s="1" t="s">
        <v>46</v>
      </c>
      <c r="C1657" s="1" t="s">
        <v>47</v>
      </c>
      <c r="D1657" s="1"/>
      <c r="E1657" s="1" t="s">
        <v>6881</v>
      </c>
      <c r="F1657" s="1"/>
      <c r="G1657" s="1" t="s">
        <v>49</v>
      </c>
      <c r="H1657" s="1" t="s">
        <v>50</v>
      </c>
      <c r="I1657" s="1">
        <v>510000.0</v>
      </c>
      <c r="J1657" s="1"/>
      <c r="K1657" s="1" t="s">
        <v>140</v>
      </c>
      <c r="L1657" s="1"/>
      <c r="M1657" s="1" t="s">
        <v>6882</v>
      </c>
      <c r="N1657" s="1" t="s">
        <v>142</v>
      </c>
      <c r="O1657" s="1" t="s">
        <v>143</v>
      </c>
      <c r="P1657" s="2">
        <v>43769.4545138889</v>
      </c>
      <c r="Q1657" s="1" t="s">
        <v>74</v>
      </c>
      <c r="R1657" s="3">
        <v>43769.0</v>
      </c>
      <c r="S1657" s="1"/>
      <c r="T1657" s="1">
        <v>1507300.0</v>
      </c>
      <c r="U1657" s="1" t="s">
        <v>3161</v>
      </c>
      <c r="V1657" s="1" t="s">
        <v>193</v>
      </c>
      <c r="W1657" s="1" t="s">
        <v>177</v>
      </c>
      <c r="X1657" s="1"/>
      <c r="Y1657" s="1"/>
      <c r="Z1657" s="1" t="s">
        <v>147</v>
      </c>
      <c r="AA1657" s="1" t="s">
        <v>6877</v>
      </c>
      <c r="AB1657" s="1" t="str">
        <f t="shared" si="101"/>
        <v>***671461**</v>
      </c>
      <c r="AC1657" s="1"/>
      <c r="AD1657" s="1" t="s">
        <v>62</v>
      </c>
      <c r="AE1657" s="1"/>
      <c r="AF1657" s="1">
        <v>-52.559166</v>
      </c>
      <c r="AG1657" s="1">
        <v>-6.140555</v>
      </c>
      <c r="AH1657" s="1" t="s">
        <v>6856</v>
      </c>
      <c r="AI1657" s="1"/>
      <c r="AJ1657" s="1" t="s">
        <v>172</v>
      </c>
      <c r="AK1657" s="1"/>
      <c r="AL1657" s="1"/>
      <c r="AM1657" s="1" t="s">
        <v>65</v>
      </c>
      <c r="AN1657" s="1" t="s">
        <v>6258</v>
      </c>
      <c r="AO1657" s="1"/>
      <c r="AP1657" s="2">
        <v>44266.6149768519</v>
      </c>
      <c r="AQ1657" s="1"/>
      <c r="AR1657" s="1" t="s">
        <v>793</v>
      </c>
      <c r="AS1657" s="1"/>
      <c r="AT1657" s="2">
        <v>44269.931099537</v>
      </c>
    </row>
    <row r="1658" ht="13.5" customHeight="1">
      <c r="A1658" s="1">
        <v>2039474.0</v>
      </c>
      <c r="B1658" s="1" t="s">
        <v>67</v>
      </c>
      <c r="C1658" s="1" t="s">
        <v>68</v>
      </c>
      <c r="D1658" s="1" t="s">
        <v>46</v>
      </c>
      <c r="E1658" s="1" t="s">
        <v>6883</v>
      </c>
      <c r="F1658" s="1"/>
      <c r="G1658" s="1" t="s">
        <v>70</v>
      </c>
      <c r="H1658" s="1" t="s">
        <v>93</v>
      </c>
      <c r="I1658" s="1">
        <v>141000.0</v>
      </c>
      <c r="J1658" s="1"/>
      <c r="K1658" s="1"/>
      <c r="L1658" s="1" t="s">
        <v>537</v>
      </c>
      <c r="M1658" s="1" t="s">
        <v>6884</v>
      </c>
      <c r="N1658" s="1" t="s">
        <v>142</v>
      </c>
      <c r="O1658" s="1" t="s">
        <v>143</v>
      </c>
      <c r="P1658" s="2">
        <v>43769.4166666667</v>
      </c>
      <c r="Q1658" s="1" t="s">
        <v>373</v>
      </c>
      <c r="R1658" s="3">
        <v>43769.0</v>
      </c>
      <c r="S1658" s="1"/>
      <c r="T1658" s="1">
        <v>2104057.0</v>
      </c>
      <c r="U1658" s="1" t="s">
        <v>4700</v>
      </c>
      <c r="V1658" s="1" t="s">
        <v>540</v>
      </c>
      <c r="W1658" s="1" t="s">
        <v>127</v>
      </c>
      <c r="X1658" s="1"/>
      <c r="Y1658" s="1" t="str">
        <f>"02012002105202041"</f>
        <v>02012002105202041</v>
      </c>
      <c r="Z1658" s="1" t="s">
        <v>147</v>
      </c>
      <c r="AA1658" s="1" t="s">
        <v>6885</v>
      </c>
      <c r="AB1658" s="1" t="str">
        <f>"***427404**"</f>
        <v>***427404**</v>
      </c>
      <c r="AC1658" s="1"/>
      <c r="AD1658" s="1"/>
      <c r="AE1658" s="1"/>
      <c r="AF1658" s="1">
        <v>-47.460556</v>
      </c>
      <c r="AG1658" s="1">
        <v>-6.799167</v>
      </c>
      <c r="AH1658" s="1" t="s">
        <v>6886</v>
      </c>
      <c r="AI1658" s="1"/>
      <c r="AJ1658" s="1" t="s">
        <v>537</v>
      </c>
      <c r="AK1658" s="1"/>
      <c r="AL1658" s="1" t="s">
        <v>79</v>
      </c>
      <c r="AM1658" s="1" t="s">
        <v>65</v>
      </c>
      <c r="AN1658" s="1" t="s">
        <v>4203</v>
      </c>
      <c r="AO1658" s="2">
        <v>44063.0</v>
      </c>
      <c r="AP1658" s="2">
        <v>44063.6452777778</v>
      </c>
      <c r="AQ1658" s="1" t="s">
        <v>80</v>
      </c>
      <c r="AR1658" s="1" t="s">
        <v>2065</v>
      </c>
      <c r="AS1658" s="1"/>
      <c r="AT1658" s="2">
        <v>44269.931099537</v>
      </c>
    </row>
    <row r="1659" ht="13.5" customHeight="1">
      <c r="A1659" s="1"/>
      <c r="B1659" s="1" t="s">
        <v>46</v>
      </c>
      <c r="C1659" s="1" t="s">
        <v>47</v>
      </c>
      <c r="D1659" s="1"/>
      <c r="E1659" s="1" t="s">
        <v>6887</v>
      </c>
      <c r="F1659" s="1"/>
      <c r="G1659" s="1"/>
      <c r="H1659" s="1" t="s">
        <v>93</v>
      </c>
      <c r="I1659" s="1">
        <v>13000.0</v>
      </c>
      <c r="J1659" s="1"/>
      <c r="K1659" s="1"/>
      <c r="L1659" s="1"/>
      <c r="M1659" s="1" t="s">
        <v>6888</v>
      </c>
      <c r="N1659" s="1" t="s">
        <v>95</v>
      </c>
      <c r="O1659" s="1" t="s">
        <v>96</v>
      </c>
      <c r="P1659" s="2">
        <v>43769.3220833333</v>
      </c>
      <c r="Q1659" s="1" t="s">
        <v>373</v>
      </c>
      <c r="R1659" s="1"/>
      <c r="S1659" s="1"/>
      <c r="T1659" s="1">
        <v>3148103.0</v>
      </c>
      <c r="U1659" s="1" t="s">
        <v>246</v>
      </c>
      <c r="V1659" s="1" t="s">
        <v>126</v>
      </c>
      <c r="W1659" s="1" t="s">
        <v>127</v>
      </c>
      <c r="X1659" s="1"/>
      <c r="Y1659" s="1"/>
      <c r="Z1659" s="1" t="s">
        <v>98</v>
      </c>
      <c r="AA1659" s="1" t="s">
        <v>6889</v>
      </c>
      <c r="AB1659" s="1" t="str">
        <f>"***658736**"</f>
        <v>***658736**</v>
      </c>
      <c r="AC1659" s="1"/>
      <c r="AD1659" s="1" t="s">
        <v>62</v>
      </c>
      <c r="AE1659" s="1"/>
      <c r="AF1659" s="1">
        <v>-46.989723</v>
      </c>
      <c r="AG1659" s="1">
        <v>-18.946388</v>
      </c>
      <c r="AH1659" s="1" t="s">
        <v>6890</v>
      </c>
      <c r="AI1659" s="1"/>
      <c r="AJ1659" s="1" t="s">
        <v>244</v>
      </c>
      <c r="AK1659" s="1"/>
      <c r="AL1659" s="1"/>
      <c r="AM1659" s="1" t="s">
        <v>65</v>
      </c>
      <c r="AN1659" s="1" t="s">
        <v>6873</v>
      </c>
      <c r="AO1659" s="1"/>
      <c r="AP1659" s="2">
        <v>43769.352037037</v>
      </c>
      <c r="AQ1659" s="1"/>
      <c r="AR1659" s="1" t="s">
        <v>6891</v>
      </c>
      <c r="AS1659" s="1"/>
      <c r="AT1659" s="2">
        <v>44269.931099537</v>
      </c>
    </row>
    <row r="1660" ht="13.5" customHeight="1">
      <c r="A1660" s="1">
        <v>2042338.0</v>
      </c>
      <c r="B1660" s="1" t="s">
        <v>67</v>
      </c>
      <c r="C1660" s="1" t="s">
        <v>68</v>
      </c>
      <c r="D1660" s="1" t="s">
        <v>46</v>
      </c>
      <c r="E1660" s="1" t="s">
        <v>6892</v>
      </c>
      <c r="F1660" s="1"/>
      <c r="G1660" s="1" t="s">
        <v>70</v>
      </c>
      <c r="H1660" s="1" t="s">
        <v>93</v>
      </c>
      <c r="I1660" s="1">
        <v>550000.0</v>
      </c>
      <c r="J1660" s="1"/>
      <c r="K1660" s="1"/>
      <c r="L1660" s="1" t="s">
        <v>151</v>
      </c>
      <c r="M1660" s="1" t="s">
        <v>6893</v>
      </c>
      <c r="N1660" s="1" t="s">
        <v>95</v>
      </c>
      <c r="O1660" s="1" t="s">
        <v>96</v>
      </c>
      <c r="P1660" s="2">
        <v>43769.2083333333</v>
      </c>
      <c r="Q1660" s="1" t="s">
        <v>373</v>
      </c>
      <c r="R1660" s="3">
        <v>43769.0</v>
      </c>
      <c r="S1660" s="1"/>
      <c r="T1660" s="1">
        <v>4311759.0</v>
      </c>
      <c r="U1660" s="1" t="s">
        <v>6834</v>
      </c>
      <c r="V1660" s="1" t="s">
        <v>145</v>
      </c>
      <c r="W1660" s="1" t="s">
        <v>146</v>
      </c>
      <c r="X1660" s="1"/>
      <c r="Y1660" s="1" t="str">
        <f>"02613000074202015"</f>
        <v>02613000074202015</v>
      </c>
      <c r="Z1660" s="1" t="s">
        <v>98</v>
      </c>
      <c r="AA1660" s="1" t="s">
        <v>6835</v>
      </c>
      <c r="AB1660" s="1" t="str">
        <f>"***921500**"</f>
        <v>***921500**</v>
      </c>
      <c r="AC1660" s="1"/>
      <c r="AD1660" s="1" t="s">
        <v>116</v>
      </c>
      <c r="AE1660" s="1"/>
      <c r="AF1660" s="1">
        <v>-55.479444</v>
      </c>
      <c r="AG1660" s="1">
        <v>-29.591944</v>
      </c>
      <c r="AH1660" s="1" t="s">
        <v>6894</v>
      </c>
      <c r="AI1660" s="1"/>
      <c r="AJ1660" s="1" t="s">
        <v>151</v>
      </c>
      <c r="AK1660" s="1" t="s">
        <v>6837</v>
      </c>
      <c r="AL1660" s="1" t="s">
        <v>79</v>
      </c>
      <c r="AM1660" s="1" t="s">
        <v>65</v>
      </c>
      <c r="AN1660" s="1" t="s">
        <v>6837</v>
      </c>
      <c r="AO1660" s="2">
        <v>44194.0</v>
      </c>
      <c r="AP1660" s="2">
        <v>44194.4940393519</v>
      </c>
      <c r="AQ1660" s="1" t="s">
        <v>80</v>
      </c>
      <c r="AR1660" s="1" t="s">
        <v>6895</v>
      </c>
      <c r="AS1660" s="1"/>
      <c r="AT1660" s="2">
        <v>44269.931099537</v>
      </c>
    </row>
    <row r="1661" ht="13.5" customHeight="1">
      <c r="A1661" s="1">
        <v>2036267.0</v>
      </c>
      <c r="B1661" s="1" t="s">
        <v>67</v>
      </c>
      <c r="C1661" s="1" t="s">
        <v>68</v>
      </c>
      <c r="D1661" s="1" t="s">
        <v>46</v>
      </c>
      <c r="E1661" s="1" t="s">
        <v>6896</v>
      </c>
      <c r="F1661" s="1"/>
      <c r="G1661" s="1" t="s">
        <v>70</v>
      </c>
      <c r="H1661" s="1" t="s">
        <v>50</v>
      </c>
      <c r="I1661" s="1">
        <v>2160.0</v>
      </c>
      <c r="J1661" s="1"/>
      <c r="K1661" s="1"/>
      <c r="L1661" s="1" t="s">
        <v>151</v>
      </c>
      <c r="M1661" s="1" t="s">
        <v>6897</v>
      </c>
      <c r="N1661" s="1" t="s">
        <v>53</v>
      </c>
      <c r="O1661" s="1" t="s">
        <v>54</v>
      </c>
      <c r="P1661" s="2">
        <v>43768.7916666667</v>
      </c>
      <c r="Q1661" s="1" t="s">
        <v>373</v>
      </c>
      <c r="R1661" s="3">
        <v>43768.0</v>
      </c>
      <c r="S1661" s="1"/>
      <c r="T1661" s="1">
        <v>4315305.0</v>
      </c>
      <c r="U1661" s="1" t="s">
        <v>2024</v>
      </c>
      <c r="V1661" s="1" t="s">
        <v>145</v>
      </c>
      <c r="W1661" s="1" t="s">
        <v>146</v>
      </c>
      <c r="X1661" s="1"/>
      <c r="Y1661" s="1" t="str">
        <f>"02615000010202002"</f>
        <v>02615000010202002</v>
      </c>
      <c r="Z1661" s="1" t="s">
        <v>60</v>
      </c>
      <c r="AA1661" s="1" t="s">
        <v>6898</v>
      </c>
      <c r="AB1661" s="1" t="str">
        <f>"***998900**"</f>
        <v>***998900**</v>
      </c>
      <c r="AC1661" s="1"/>
      <c r="AD1661" s="1" t="s">
        <v>116</v>
      </c>
      <c r="AE1661" s="1"/>
      <c r="AF1661" s="1">
        <v>-56.479444</v>
      </c>
      <c r="AG1661" s="1">
        <v>-30.385</v>
      </c>
      <c r="AH1661" s="1" t="s">
        <v>6899</v>
      </c>
      <c r="AI1661" s="1"/>
      <c r="AJ1661" s="1" t="s">
        <v>151</v>
      </c>
      <c r="AK1661" s="1" t="s">
        <v>6837</v>
      </c>
      <c r="AL1661" s="1" t="s">
        <v>79</v>
      </c>
      <c r="AM1661" s="1" t="s">
        <v>65</v>
      </c>
      <c r="AN1661" s="1" t="s">
        <v>6837</v>
      </c>
      <c r="AO1661" s="2">
        <v>43943.0</v>
      </c>
      <c r="AP1661" s="2">
        <v>44057.6089467593</v>
      </c>
      <c r="AQ1661" s="1" t="s">
        <v>80</v>
      </c>
      <c r="AR1661" s="1" t="s">
        <v>6838</v>
      </c>
      <c r="AS1661" s="1"/>
      <c r="AT1661" s="2">
        <v>44269.931099537</v>
      </c>
    </row>
    <row r="1662" ht="13.5" customHeight="1">
      <c r="A1662" s="1"/>
      <c r="B1662" s="1" t="s">
        <v>46</v>
      </c>
      <c r="C1662" s="1" t="s">
        <v>47</v>
      </c>
      <c r="D1662" s="1"/>
      <c r="E1662" s="1" t="s">
        <v>6900</v>
      </c>
      <c r="F1662" s="1"/>
      <c r="G1662" s="1" t="s">
        <v>49</v>
      </c>
      <c r="H1662" s="1" t="s">
        <v>93</v>
      </c>
      <c r="I1662" s="1">
        <v>11778.6</v>
      </c>
      <c r="J1662" s="1"/>
      <c r="K1662" s="1"/>
      <c r="L1662" s="1"/>
      <c r="M1662" s="1" t="s">
        <v>6901</v>
      </c>
      <c r="N1662" s="1" t="s">
        <v>142</v>
      </c>
      <c r="O1662" s="1" t="s">
        <v>143</v>
      </c>
      <c r="P1662" s="2">
        <v>43768.7465740741</v>
      </c>
      <c r="Q1662" s="1" t="s">
        <v>74</v>
      </c>
      <c r="R1662" s="3">
        <v>43838.0</v>
      </c>
      <c r="S1662" s="1"/>
      <c r="T1662" s="1">
        <v>2105302.0</v>
      </c>
      <c r="U1662" s="1" t="s">
        <v>539</v>
      </c>
      <c r="V1662" s="1" t="s">
        <v>540</v>
      </c>
      <c r="W1662" s="1" t="s">
        <v>177</v>
      </c>
      <c r="X1662" s="1"/>
      <c r="Y1662" s="1"/>
      <c r="Z1662" s="1" t="s">
        <v>147</v>
      </c>
      <c r="AA1662" s="1" t="s">
        <v>6902</v>
      </c>
      <c r="AB1662" s="1" t="str">
        <f>"09403933000102"</f>
        <v>09403933000102</v>
      </c>
      <c r="AC1662" s="1"/>
      <c r="AD1662" s="1" t="s">
        <v>62</v>
      </c>
      <c r="AE1662" s="1"/>
      <c r="AF1662" s="1">
        <v>-47.781113</v>
      </c>
      <c r="AG1662" s="1">
        <v>-5.175555</v>
      </c>
      <c r="AH1662" s="1" t="s">
        <v>6903</v>
      </c>
      <c r="AI1662" s="1"/>
      <c r="AJ1662" s="1" t="s">
        <v>6400</v>
      </c>
      <c r="AK1662" s="1"/>
      <c r="AL1662" s="1"/>
      <c r="AM1662" s="1" t="s">
        <v>65</v>
      </c>
      <c r="AN1662" s="1" t="s">
        <v>152</v>
      </c>
      <c r="AO1662" s="1"/>
      <c r="AP1662" s="2">
        <v>44151.9446412037</v>
      </c>
      <c r="AQ1662" s="1"/>
      <c r="AR1662" s="1" t="s">
        <v>280</v>
      </c>
      <c r="AS1662" s="1"/>
      <c r="AT1662" s="2">
        <v>44269.931099537</v>
      </c>
    </row>
    <row r="1663" ht="13.5" customHeight="1">
      <c r="A1663" s="1">
        <v>2038275.0</v>
      </c>
      <c r="B1663" s="1" t="s">
        <v>67</v>
      </c>
      <c r="C1663" s="1" t="s">
        <v>68</v>
      </c>
      <c r="D1663" s="1" t="s">
        <v>46</v>
      </c>
      <c r="E1663" s="1" t="s">
        <v>6904</v>
      </c>
      <c r="F1663" s="1"/>
      <c r="G1663" s="1" t="s">
        <v>70</v>
      </c>
      <c r="H1663" s="1" t="s">
        <v>93</v>
      </c>
      <c r="I1663" s="1">
        <v>7776.0</v>
      </c>
      <c r="J1663" s="1"/>
      <c r="K1663" s="1"/>
      <c r="L1663" s="1" t="s">
        <v>587</v>
      </c>
      <c r="M1663" s="1" t="s">
        <v>6905</v>
      </c>
      <c r="N1663" s="1" t="s">
        <v>142</v>
      </c>
      <c r="O1663" s="1" t="s">
        <v>143</v>
      </c>
      <c r="P1663" s="2">
        <v>43768.6666666667</v>
      </c>
      <c r="Q1663" s="1" t="s">
        <v>373</v>
      </c>
      <c r="R1663" s="3">
        <v>43768.0</v>
      </c>
      <c r="S1663" s="1"/>
      <c r="T1663" s="1">
        <v>3135605.0</v>
      </c>
      <c r="U1663" s="1" t="s">
        <v>6906</v>
      </c>
      <c r="V1663" s="1" t="s">
        <v>126</v>
      </c>
      <c r="W1663" s="1" t="s">
        <v>127</v>
      </c>
      <c r="X1663" s="1"/>
      <c r="Y1663" s="1" t="str">
        <f>"02566000411201943"</f>
        <v>02566000411201943</v>
      </c>
      <c r="Z1663" s="1" t="s">
        <v>147</v>
      </c>
      <c r="AA1663" s="1" t="s">
        <v>6907</v>
      </c>
      <c r="AB1663" s="1" t="str">
        <f>"***150488**"</f>
        <v>***150488**</v>
      </c>
      <c r="AC1663" s="1"/>
      <c r="AD1663" s="1"/>
      <c r="AE1663" s="1"/>
      <c r="AF1663" s="1">
        <v>-44.601665</v>
      </c>
      <c r="AG1663" s="1">
        <v>-17.205</v>
      </c>
      <c r="AH1663" s="1" t="s">
        <v>6908</v>
      </c>
      <c r="AI1663" s="1"/>
      <c r="AJ1663" s="1" t="s">
        <v>587</v>
      </c>
      <c r="AK1663" s="1"/>
      <c r="AL1663" s="1" t="s">
        <v>79</v>
      </c>
      <c r="AM1663" s="1" t="s">
        <v>65</v>
      </c>
      <c r="AN1663" s="1" t="s">
        <v>592</v>
      </c>
      <c r="AO1663" s="2">
        <v>44028.0</v>
      </c>
      <c r="AP1663" s="2">
        <v>44028.6351851852</v>
      </c>
      <c r="AQ1663" s="1" t="s">
        <v>80</v>
      </c>
      <c r="AR1663" s="1" t="s">
        <v>379</v>
      </c>
      <c r="AS1663" s="1"/>
      <c r="AT1663" s="2">
        <v>44269.931099537</v>
      </c>
    </row>
    <row r="1664" ht="13.5" customHeight="1">
      <c r="A1664" s="1">
        <v>2039463.0</v>
      </c>
      <c r="B1664" s="1" t="s">
        <v>67</v>
      </c>
      <c r="C1664" s="1" t="s">
        <v>68</v>
      </c>
      <c r="D1664" s="1" t="s">
        <v>46</v>
      </c>
      <c r="E1664" s="1" t="s">
        <v>6909</v>
      </c>
      <c r="F1664" s="1"/>
      <c r="G1664" s="1" t="s">
        <v>70</v>
      </c>
      <c r="H1664" s="1" t="s">
        <v>50</v>
      </c>
      <c r="I1664" s="1">
        <v>3100.0</v>
      </c>
      <c r="J1664" s="1"/>
      <c r="K1664" s="1"/>
      <c r="L1664" s="1" t="s">
        <v>64</v>
      </c>
      <c r="M1664" s="1" t="s">
        <v>6910</v>
      </c>
      <c r="N1664" s="1" t="s">
        <v>283</v>
      </c>
      <c r="O1664" s="1" t="s">
        <v>978</v>
      </c>
      <c r="P1664" s="2">
        <v>43768.6666666667</v>
      </c>
      <c r="Q1664" s="1" t="s">
        <v>55</v>
      </c>
      <c r="R1664" s="1"/>
      <c r="S1664" s="1"/>
      <c r="T1664" s="1">
        <v>3534708.0</v>
      </c>
      <c r="U1664" s="1" t="s">
        <v>6911</v>
      </c>
      <c r="V1664" s="1" t="s">
        <v>58</v>
      </c>
      <c r="W1664" s="1" t="s">
        <v>59</v>
      </c>
      <c r="X1664" s="1"/>
      <c r="Y1664" s="1" t="str">
        <f>"02027000678202071"</f>
        <v>02027000678202071</v>
      </c>
      <c r="Z1664" s="1" t="s">
        <v>980</v>
      </c>
      <c r="AA1664" s="1" t="s">
        <v>6912</v>
      </c>
      <c r="AB1664" s="1" t="str">
        <f>"82837329000176"</f>
        <v>82837329000176</v>
      </c>
      <c r="AC1664" s="1"/>
      <c r="AD1664" s="1"/>
      <c r="AE1664" s="1"/>
      <c r="AF1664" s="1">
        <v>-49.903751</v>
      </c>
      <c r="AG1664" s="1">
        <v>-22.978361</v>
      </c>
      <c r="AH1664" s="1" t="s">
        <v>6913</v>
      </c>
      <c r="AI1664" s="1"/>
      <c r="AJ1664" s="1" t="s">
        <v>64</v>
      </c>
      <c r="AK1664" s="1"/>
      <c r="AL1664" s="1" t="s">
        <v>79</v>
      </c>
      <c r="AM1664" s="1" t="s">
        <v>65</v>
      </c>
      <c r="AN1664" s="1" t="s">
        <v>6914</v>
      </c>
      <c r="AO1664" s="2">
        <v>44063.0</v>
      </c>
      <c r="AP1664" s="2">
        <v>44063.4295949074</v>
      </c>
      <c r="AQ1664" s="1" t="s">
        <v>80</v>
      </c>
      <c r="AR1664" s="1" t="s">
        <v>5893</v>
      </c>
      <c r="AS1664" s="1"/>
      <c r="AT1664" s="2">
        <v>44269.931099537</v>
      </c>
    </row>
    <row r="1665" ht="13.5" customHeight="1">
      <c r="A1665" s="1">
        <v>2039273.0</v>
      </c>
      <c r="B1665" s="1" t="s">
        <v>67</v>
      </c>
      <c r="C1665" s="1" t="s">
        <v>68</v>
      </c>
      <c r="D1665" s="1" t="s">
        <v>46</v>
      </c>
      <c r="E1665" s="1" t="s">
        <v>6915</v>
      </c>
      <c r="F1665" s="1"/>
      <c r="G1665" s="1" t="s">
        <v>70</v>
      </c>
      <c r="H1665" s="1" t="s">
        <v>93</v>
      </c>
      <c r="I1665" s="1">
        <v>282000.0</v>
      </c>
      <c r="J1665" s="1"/>
      <c r="K1665" s="1"/>
      <c r="L1665" s="1" t="s">
        <v>1172</v>
      </c>
      <c r="M1665" s="1" t="s">
        <v>6916</v>
      </c>
      <c r="N1665" s="1" t="s">
        <v>142</v>
      </c>
      <c r="O1665" s="1" t="s">
        <v>143</v>
      </c>
      <c r="P1665" s="2">
        <v>43768.625</v>
      </c>
      <c r="Q1665" s="1" t="s">
        <v>74</v>
      </c>
      <c r="R1665" s="3">
        <v>43767.0</v>
      </c>
      <c r="S1665" s="1"/>
      <c r="T1665" s="1">
        <v>1507300.0</v>
      </c>
      <c r="U1665" s="1" t="s">
        <v>3161</v>
      </c>
      <c r="V1665" s="1" t="s">
        <v>193</v>
      </c>
      <c r="W1665" s="1" t="s">
        <v>177</v>
      </c>
      <c r="X1665" s="1"/>
      <c r="Y1665" s="1"/>
      <c r="Z1665" s="1" t="s">
        <v>147</v>
      </c>
      <c r="AA1665" s="1" t="s">
        <v>6917</v>
      </c>
      <c r="AB1665" s="1" t="str">
        <f>"***791031**"</f>
        <v>***791031**</v>
      </c>
      <c r="AC1665" s="1"/>
      <c r="AD1665" s="1"/>
      <c r="AE1665" s="1"/>
      <c r="AF1665" s="1">
        <v>-51.089722</v>
      </c>
      <c r="AG1665" s="1">
        <v>-5.415</v>
      </c>
      <c r="AH1665" s="1" t="s">
        <v>6918</v>
      </c>
      <c r="AI1665" s="1"/>
      <c r="AJ1665" s="1" t="s">
        <v>1172</v>
      </c>
      <c r="AK1665" s="1"/>
      <c r="AL1665" s="1" t="s">
        <v>79</v>
      </c>
      <c r="AM1665" s="1" t="s">
        <v>65</v>
      </c>
      <c r="AN1665" s="1" t="s">
        <v>6919</v>
      </c>
      <c r="AO1665" s="2">
        <v>44059.0</v>
      </c>
      <c r="AP1665" s="2">
        <v>44059.5032291667</v>
      </c>
      <c r="AQ1665" s="1" t="s">
        <v>80</v>
      </c>
      <c r="AR1665" s="1" t="s">
        <v>5801</v>
      </c>
      <c r="AS1665" s="1"/>
      <c r="AT1665" s="2">
        <v>44269.931099537</v>
      </c>
    </row>
    <row r="1666" ht="13.5" customHeight="1">
      <c r="A1666" s="1">
        <v>2038828.0</v>
      </c>
      <c r="B1666" s="1" t="s">
        <v>67</v>
      </c>
      <c r="C1666" s="1" t="s">
        <v>68</v>
      </c>
      <c r="D1666" s="1" t="s">
        <v>46</v>
      </c>
      <c r="E1666" s="1" t="s">
        <v>6920</v>
      </c>
      <c r="F1666" s="1"/>
      <c r="G1666" s="1" t="s">
        <v>70</v>
      </c>
      <c r="H1666" s="1" t="s">
        <v>93</v>
      </c>
      <c r="I1666" s="1">
        <v>2000.0</v>
      </c>
      <c r="J1666" s="1"/>
      <c r="K1666" s="1"/>
      <c r="L1666" s="1" t="s">
        <v>800</v>
      </c>
      <c r="M1666" s="1" t="s">
        <v>6921</v>
      </c>
      <c r="N1666" s="1" t="s">
        <v>95</v>
      </c>
      <c r="O1666" s="1" t="s">
        <v>96</v>
      </c>
      <c r="P1666" s="2">
        <v>43768.5833333333</v>
      </c>
      <c r="Q1666" s="1" t="s">
        <v>373</v>
      </c>
      <c r="R1666" s="3">
        <v>43768.0</v>
      </c>
      <c r="S1666" s="1"/>
      <c r="T1666" s="1">
        <v>1600402.0</v>
      </c>
      <c r="U1666" s="1" t="s">
        <v>880</v>
      </c>
      <c r="V1666" s="1" t="s">
        <v>797</v>
      </c>
      <c r="W1666" s="1" t="s">
        <v>177</v>
      </c>
      <c r="X1666" s="1"/>
      <c r="Y1666" s="1" t="str">
        <f>"02004000914202018"</f>
        <v>02004000914202018</v>
      </c>
      <c r="Z1666" s="1" t="s">
        <v>98</v>
      </c>
      <c r="AA1666" s="1" t="s">
        <v>6922</v>
      </c>
      <c r="AB1666" s="1" t="str">
        <f>"***701732**"</f>
        <v>***701732**</v>
      </c>
      <c r="AC1666" s="1"/>
      <c r="AD1666" s="1"/>
      <c r="AE1666" s="1"/>
      <c r="AF1666" s="1">
        <v>-51.269722</v>
      </c>
      <c r="AG1666" s="1">
        <v>-0.161111</v>
      </c>
      <c r="AH1666" s="1" t="s">
        <v>6923</v>
      </c>
      <c r="AI1666" s="1"/>
      <c r="AJ1666" s="1" t="s">
        <v>800</v>
      </c>
      <c r="AK1666" s="1"/>
      <c r="AL1666" s="1" t="s">
        <v>79</v>
      </c>
      <c r="AM1666" s="1" t="s">
        <v>65</v>
      </c>
      <c r="AN1666" s="1" t="s">
        <v>152</v>
      </c>
      <c r="AO1666" s="2">
        <v>44047.0</v>
      </c>
      <c r="AP1666" s="2">
        <v>44047.3420486111</v>
      </c>
      <c r="AQ1666" s="1" t="s">
        <v>80</v>
      </c>
      <c r="AR1666" s="1" t="s">
        <v>4805</v>
      </c>
      <c r="AS1666" s="1"/>
      <c r="AT1666" s="2">
        <v>44269.931099537</v>
      </c>
    </row>
    <row r="1667" ht="13.5" customHeight="1">
      <c r="A1667" s="1"/>
      <c r="B1667" s="1" t="s">
        <v>46</v>
      </c>
      <c r="C1667" s="1" t="s">
        <v>47</v>
      </c>
      <c r="D1667" s="1"/>
      <c r="E1667" s="1" t="s">
        <v>6924</v>
      </c>
      <c r="F1667" s="1"/>
      <c r="G1667" s="1"/>
      <c r="H1667" s="1" t="s">
        <v>93</v>
      </c>
      <c r="I1667" s="1">
        <v>12519.36</v>
      </c>
      <c r="J1667" s="1"/>
      <c r="K1667" s="1"/>
      <c r="L1667" s="1"/>
      <c r="M1667" s="1" t="s">
        <v>6925</v>
      </c>
      <c r="N1667" s="1" t="s">
        <v>142</v>
      </c>
      <c r="O1667" s="1" t="s">
        <v>143</v>
      </c>
      <c r="P1667" s="2">
        <v>43768.5510763889</v>
      </c>
      <c r="Q1667" s="1" t="s">
        <v>373</v>
      </c>
      <c r="R1667" s="1"/>
      <c r="S1667" s="1"/>
      <c r="T1667" s="1">
        <v>2211001.0</v>
      </c>
      <c r="U1667" s="1" t="s">
        <v>1667</v>
      </c>
      <c r="V1667" s="1" t="s">
        <v>895</v>
      </c>
      <c r="W1667" s="1" t="s">
        <v>177</v>
      </c>
      <c r="X1667" s="1"/>
      <c r="Y1667" s="1"/>
      <c r="Z1667" s="1" t="s">
        <v>147</v>
      </c>
      <c r="AA1667" s="1" t="s">
        <v>6926</v>
      </c>
      <c r="AB1667" s="1" t="str">
        <f>"***419003**"</f>
        <v>***419003**</v>
      </c>
      <c r="AC1667" s="1"/>
      <c r="AD1667" s="1" t="s">
        <v>149</v>
      </c>
      <c r="AE1667" s="1"/>
      <c r="AF1667" s="1">
        <v>-42.792778</v>
      </c>
      <c r="AG1667" s="1">
        <v>-5.214445</v>
      </c>
      <c r="AH1667" s="1" t="s">
        <v>6927</v>
      </c>
      <c r="AI1667" s="1"/>
      <c r="AJ1667" s="1" t="s">
        <v>898</v>
      </c>
      <c r="AK1667" s="1"/>
      <c r="AL1667" s="1"/>
      <c r="AM1667" s="1" t="s">
        <v>65</v>
      </c>
      <c r="AN1667" s="1" t="s">
        <v>152</v>
      </c>
      <c r="AO1667" s="1"/>
      <c r="AP1667" s="2">
        <v>43768.5738425926</v>
      </c>
      <c r="AQ1667" s="1"/>
      <c r="AR1667" s="1" t="s">
        <v>280</v>
      </c>
      <c r="AS1667" s="1"/>
      <c r="AT1667" s="2">
        <v>44269.931099537</v>
      </c>
    </row>
    <row r="1668" ht="13.5" customHeight="1">
      <c r="A1668" s="1"/>
      <c r="B1668" s="1" t="s">
        <v>46</v>
      </c>
      <c r="C1668" s="1" t="s">
        <v>47</v>
      </c>
      <c r="D1668" s="1"/>
      <c r="E1668" s="1" t="s">
        <v>6928</v>
      </c>
      <c r="F1668" s="1"/>
      <c r="G1668" s="1" t="s">
        <v>49</v>
      </c>
      <c r="H1668" s="1" t="s">
        <v>93</v>
      </c>
      <c r="I1668" s="1">
        <v>80000.0</v>
      </c>
      <c r="J1668" s="1"/>
      <c r="K1668" s="1"/>
      <c r="L1668" s="1"/>
      <c r="M1668" s="1" t="s">
        <v>6929</v>
      </c>
      <c r="N1668" s="1" t="s">
        <v>142</v>
      </c>
      <c r="O1668" s="1" t="s">
        <v>143</v>
      </c>
      <c r="P1668" s="2">
        <v>43768.5249884259</v>
      </c>
      <c r="Q1668" s="1" t="s">
        <v>373</v>
      </c>
      <c r="R1668" s="1"/>
      <c r="S1668" s="1"/>
      <c r="T1668" s="1">
        <v>1200302.0</v>
      </c>
      <c r="U1668" s="1" t="s">
        <v>3319</v>
      </c>
      <c r="V1668" s="1" t="s">
        <v>498</v>
      </c>
      <c r="W1668" s="1" t="s">
        <v>177</v>
      </c>
      <c r="X1668" s="1"/>
      <c r="Y1668" s="1"/>
      <c r="Z1668" s="1" t="s">
        <v>147</v>
      </c>
      <c r="AA1668" s="1" t="s">
        <v>6930</v>
      </c>
      <c r="AB1668" s="1" t="str">
        <f>"***765192**"</f>
        <v>***765192**</v>
      </c>
      <c r="AC1668" s="1">
        <v>17.0</v>
      </c>
      <c r="AD1668" s="1" t="s">
        <v>116</v>
      </c>
      <c r="AE1668" s="1"/>
      <c r="AF1668" s="1">
        <v>-70.228333</v>
      </c>
      <c r="AG1668" s="1">
        <v>-8.12</v>
      </c>
      <c r="AH1668" s="1" t="s">
        <v>6931</v>
      </c>
      <c r="AI1668" s="1"/>
      <c r="AJ1668" s="1" t="s">
        <v>3322</v>
      </c>
      <c r="AK1668" s="1"/>
      <c r="AL1668" s="1"/>
      <c r="AM1668" s="1" t="s">
        <v>65</v>
      </c>
      <c r="AN1668" s="1" t="s">
        <v>3305</v>
      </c>
      <c r="AO1668" s="1"/>
      <c r="AP1668" s="2">
        <v>43957.451724537</v>
      </c>
      <c r="AQ1668" s="1"/>
      <c r="AR1668" s="1" t="s">
        <v>3478</v>
      </c>
      <c r="AS1668" s="1"/>
      <c r="AT1668" s="2">
        <v>44269.931099537</v>
      </c>
    </row>
    <row r="1669" ht="13.5" customHeight="1">
      <c r="A1669" s="1"/>
      <c r="B1669" s="1" t="s">
        <v>46</v>
      </c>
      <c r="C1669" s="1" t="s">
        <v>47</v>
      </c>
      <c r="D1669" s="1"/>
      <c r="E1669" s="1" t="s">
        <v>6932</v>
      </c>
      <c r="F1669" s="1"/>
      <c r="G1669" s="1" t="s">
        <v>49</v>
      </c>
      <c r="H1669" s="1" t="s">
        <v>93</v>
      </c>
      <c r="I1669" s="1">
        <v>281000.0</v>
      </c>
      <c r="J1669" s="1"/>
      <c r="K1669" s="1"/>
      <c r="L1669" s="1"/>
      <c r="M1669" s="1" t="s">
        <v>6933</v>
      </c>
      <c r="N1669" s="1" t="s">
        <v>142</v>
      </c>
      <c r="O1669" s="1" t="s">
        <v>143</v>
      </c>
      <c r="P1669" s="2">
        <v>43768.4609606482</v>
      </c>
      <c r="Q1669" s="1" t="s">
        <v>373</v>
      </c>
      <c r="R1669" s="1"/>
      <c r="S1669" s="1"/>
      <c r="T1669" s="1">
        <v>1200302.0</v>
      </c>
      <c r="U1669" s="1" t="s">
        <v>3319</v>
      </c>
      <c r="V1669" s="1" t="s">
        <v>498</v>
      </c>
      <c r="W1669" s="1" t="s">
        <v>177</v>
      </c>
      <c r="X1669" s="1"/>
      <c r="Y1669" s="1"/>
      <c r="Z1669" s="1" t="s">
        <v>147</v>
      </c>
      <c r="AA1669" s="1" t="s">
        <v>6934</v>
      </c>
      <c r="AB1669" s="1" t="str">
        <f>"***547562**"</f>
        <v>***547562**</v>
      </c>
      <c r="AC1669" s="1"/>
      <c r="AD1669" s="1" t="s">
        <v>116</v>
      </c>
      <c r="AE1669" s="1"/>
      <c r="AF1669" s="1">
        <v>-70.226944</v>
      </c>
      <c r="AG1669" s="1">
        <v>-8.604167</v>
      </c>
      <c r="AH1669" s="1" t="s">
        <v>6935</v>
      </c>
      <c r="AI1669" s="1"/>
      <c r="AJ1669" s="1" t="s">
        <v>3322</v>
      </c>
      <c r="AK1669" s="1"/>
      <c r="AL1669" s="1"/>
      <c r="AM1669" s="1" t="s">
        <v>65</v>
      </c>
      <c r="AN1669" s="1" t="s">
        <v>3305</v>
      </c>
      <c r="AO1669" s="1"/>
      <c r="AP1669" s="2">
        <v>43957.4519328704</v>
      </c>
      <c r="AQ1669" s="1"/>
      <c r="AR1669" s="1" t="s">
        <v>2055</v>
      </c>
      <c r="AS1669" s="1"/>
      <c r="AT1669" s="2">
        <v>44269.931099537</v>
      </c>
    </row>
    <row r="1670" ht="13.5" customHeight="1">
      <c r="A1670" s="1">
        <v>2039971.0</v>
      </c>
      <c r="B1670" s="1" t="s">
        <v>67</v>
      </c>
      <c r="C1670" s="1" t="s">
        <v>68</v>
      </c>
      <c r="D1670" s="1" t="s">
        <v>46</v>
      </c>
      <c r="E1670" s="1" t="s">
        <v>6936</v>
      </c>
      <c r="F1670" s="1"/>
      <c r="G1670" s="1" t="s">
        <v>70</v>
      </c>
      <c r="H1670" s="1" t="s">
        <v>93</v>
      </c>
      <c r="I1670" s="1">
        <v>100.0</v>
      </c>
      <c r="J1670" s="1"/>
      <c r="K1670" s="1"/>
      <c r="L1670" s="1" t="s">
        <v>64</v>
      </c>
      <c r="M1670" s="1" t="s">
        <v>6937</v>
      </c>
      <c r="N1670" s="1" t="s">
        <v>283</v>
      </c>
      <c r="O1670" s="1" t="s">
        <v>978</v>
      </c>
      <c r="P1670" s="2">
        <v>43768.4583333333</v>
      </c>
      <c r="Q1670" s="1" t="s">
        <v>74</v>
      </c>
      <c r="R1670" s="3">
        <v>43776.0</v>
      </c>
      <c r="S1670" s="1"/>
      <c r="T1670" s="1">
        <v>3509502.0</v>
      </c>
      <c r="U1670" s="1" t="s">
        <v>97</v>
      </c>
      <c r="V1670" s="1" t="s">
        <v>58</v>
      </c>
      <c r="W1670" s="1" t="s">
        <v>59</v>
      </c>
      <c r="X1670" s="1"/>
      <c r="Y1670" s="1" t="str">
        <f>"02027022300201995"</f>
        <v>02027022300201995</v>
      </c>
      <c r="Z1670" s="1" t="s">
        <v>980</v>
      </c>
      <c r="AA1670" s="1" t="s">
        <v>6938</v>
      </c>
      <c r="AB1670" s="1" t="str">
        <f>"***615027**"</f>
        <v>***615027**</v>
      </c>
      <c r="AC1670" s="1"/>
      <c r="AD1670" s="1"/>
      <c r="AE1670" s="1"/>
      <c r="AF1670" s="1">
        <v>-47.144169</v>
      </c>
      <c r="AG1670" s="1">
        <v>-23.007778</v>
      </c>
      <c r="AH1670" s="1" t="s">
        <v>3543</v>
      </c>
      <c r="AI1670" s="1"/>
      <c r="AJ1670" s="1" t="s">
        <v>64</v>
      </c>
      <c r="AK1670" s="1"/>
      <c r="AL1670" s="1" t="s">
        <v>79</v>
      </c>
      <c r="AM1670" s="1" t="s">
        <v>65</v>
      </c>
      <c r="AN1670" s="1" t="s">
        <v>102</v>
      </c>
      <c r="AO1670" s="2">
        <v>44082.0</v>
      </c>
      <c r="AP1670" s="2">
        <v>44082.3888888889</v>
      </c>
      <c r="AQ1670" s="1" t="s">
        <v>80</v>
      </c>
      <c r="AR1670" s="1" t="s">
        <v>6447</v>
      </c>
      <c r="AS1670" s="1"/>
      <c r="AT1670" s="2">
        <v>44269.931099537</v>
      </c>
    </row>
    <row r="1671" ht="13.5" customHeight="1">
      <c r="A1671" s="1"/>
      <c r="B1671" s="1" t="s">
        <v>46</v>
      </c>
      <c r="C1671" s="1" t="s">
        <v>47</v>
      </c>
      <c r="D1671" s="1"/>
      <c r="E1671" s="1" t="s">
        <v>6939</v>
      </c>
      <c r="F1671" s="1"/>
      <c r="G1671" s="1" t="s">
        <v>49</v>
      </c>
      <c r="H1671" s="1" t="s">
        <v>93</v>
      </c>
      <c r="I1671" s="1">
        <v>70000.0</v>
      </c>
      <c r="J1671" s="1"/>
      <c r="K1671" s="1"/>
      <c r="L1671" s="1"/>
      <c r="M1671" s="1" t="s">
        <v>6940</v>
      </c>
      <c r="N1671" s="1" t="s">
        <v>142</v>
      </c>
      <c r="O1671" s="1" t="s">
        <v>143</v>
      </c>
      <c r="P1671" s="2">
        <v>43768.4254050926</v>
      </c>
      <c r="Q1671" s="1" t="s">
        <v>373</v>
      </c>
      <c r="R1671" s="1"/>
      <c r="S1671" s="1"/>
      <c r="T1671" s="1">
        <v>1200302.0</v>
      </c>
      <c r="U1671" s="1" t="s">
        <v>3319</v>
      </c>
      <c r="V1671" s="1" t="s">
        <v>498</v>
      </c>
      <c r="W1671" s="1" t="s">
        <v>177</v>
      </c>
      <c r="X1671" s="1"/>
      <c r="Y1671" s="1"/>
      <c r="Z1671" s="1" t="s">
        <v>147</v>
      </c>
      <c r="AA1671" s="1" t="s">
        <v>6941</v>
      </c>
      <c r="AB1671" s="1" t="str">
        <f>"***970562**"</f>
        <v>***970562**</v>
      </c>
      <c r="AC1671" s="1">
        <v>15.0</v>
      </c>
      <c r="AD1671" s="1" t="s">
        <v>116</v>
      </c>
      <c r="AE1671" s="1"/>
      <c r="AF1671" s="1">
        <v>-70.361664</v>
      </c>
      <c r="AG1671" s="1">
        <v>-8.209722</v>
      </c>
      <c r="AH1671" s="1" t="s">
        <v>6942</v>
      </c>
      <c r="AI1671" s="1"/>
      <c r="AJ1671" s="1" t="s">
        <v>3322</v>
      </c>
      <c r="AK1671" s="1"/>
      <c r="AL1671" s="1"/>
      <c r="AM1671" s="1" t="s">
        <v>65</v>
      </c>
      <c r="AN1671" s="1" t="s">
        <v>3305</v>
      </c>
      <c r="AO1671" s="1"/>
      <c r="AP1671" s="2">
        <v>43957.4522685185</v>
      </c>
      <c r="AQ1671" s="1"/>
      <c r="AR1671" s="1" t="s">
        <v>3478</v>
      </c>
      <c r="AS1671" s="1"/>
      <c r="AT1671" s="2">
        <v>44269.931099537</v>
      </c>
    </row>
    <row r="1672" ht="13.5" customHeight="1">
      <c r="A1672" s="1"/>
      <c r="B1672" s="1" t="s">
        <v>46</v>
      </c>
      <c r="C1672" s="1" t="s">
        <v>47</v>
      </c>
      <c r="D1672" s="1"/>
      <c r="E1672" s="1" t="s">
        <v>6943</v>
      </c>
      <c r="F1672" s="1"/>
      <c r="G1672" s="1"/>
      <c r="H1672" s="1" t="s">
        <v>93</v>
      </c>
      <c r="I1672" s="1">
        <v>29500.0</v>
      </c>
      <c r="J1672" s="1"/>
      <c r="K1672" s="1"/>
      <c r="L1672" s="1"/>
      <c r="M1672" s="1" t="s">
        <v>6944</v>
      </c>
      <c r="N1672" s="1" t="s">
        <v>95</v>
      </c>
      <c r="O1672" s="1" t="s">
        <v>96</v>
      </c>
      <c r="P1672" s="2">
        <v>43768.4242476852</v>
      </c>
      <c r="Q1672" s="1" t="s">
        <v>373</v>
      </c>
      <c r="R1672" s="1"/>
      <c r="S1672" s="1"/>
      <c r="T1672" s="1">
        <v>3148103.0</v>
      </c>
      <c r="U1672" s="1" t="s">
        <v>246</v>
      </c>
      <c r="V1672" s="1" t="s">
        <v>126</v>
      </c>
      <c r="W1672" s="1" t="s">
        <v>127</v>
      </c>
      <c r="X1672" s="1"/>
      <c r="Y1672" s="1"/>
      <c r="Z1672" s="1" t="s">
        <v>98</v>
      </c>
      <c r="AA1672" s="1" t="s">
        <v>6945</v>
      </c>
      <c r="AB1672" s="1" t="str">
        <f>"***718526**"</f>
        <v>***718526**</v>
      </c>
      <c r="AC1672" s="1"/>
      <c r="AD1672" s="1" t="s">
        <v>62</v>
      </c>
      <c r="AE1672" s="1"/>
      <c r="AF1672" s="1">
        <v>-46.991943</v>
      </c>
      <c r="AG1672" s="1">
        <v>-18.937777</v>
      </c>
      <c r="AH1672" s="1" t="s">
        <v>6946</v>
      </c>
      <c r="AI1672" s="1"/>
      <c r="AJ1672" s="1" t="s">
        <v>244</v>
      </c>
      <c r="AK1672" s="1"/>
      <c r="AL1672" s="1"/>
      <c r="AM1672" s="1" t="s">
        <v>65</v>
      </c>
      <c r="AN1672" s="1" t="s">
        <v>6873</v>
      </c>
      <c r="AO1672" s="1"/>
      <c r="AP1672" s="2">
        <v>43768.4488541667</v>
      </c>
      <c r="AQ1672" s="1"/>
      <c r="AR1672" s="1" t="s">
        <v>6947</v>
      </c>
      <c r="AS1672" s="1"/>
      <c r="AT1672" s="2">
        <v>44269.931099537</v>
      </c>
    </row>
    <row r="1673" ht="13.5" customHeight="1">
      <c r="A1673" s="1">
        <v>2035576.0</v>
      </c>
      <c r="B1673" s="1" t="s">
        <v>67</v>
      </c>
      <c r="C1673" s="1" t="s">
        <v>68</v>
      </c>
      <c r="D1673" s="1" t="s">
        <v>46</v>
      </c>
      <c r="E1673" s="1" t="s">
        <v>6948</v>
      </c>
      <c r="F1673" s="1"/>
      <c r="G1673" s="1" t="s">
        <v>70</v>
      </c>
      <c r="H1673" s="1" t="s">
        <v>93</v>
      </c>
      <c r="I1673" s="1">
        <v>231000.0</v>
      </c>
      <c r="J1673" s="1"/>
      <c r="K1673" s="1"/>
      <c r="L1673" s="1" t="s">
        <v>358</v>
      </c>
      <c r="M1673" s="1" t="s">
        <v>6949</v>
      </c>
      <c r="N1673" s="1" t="s">
        <v>142</v>
      </c>
      <c r="O1673" s="1" t="s">
        <v>143</v>
      </c>
      <c r="P1673" s="2">
        <v>43768.4166666667</v>
      </c>
      <c r="Q1673" s="1" t="s">
        <v>74</v>
      </c>
      <c r="R1673" s="3">
        <v>43804.0</v>
      </c>
      <c r="S1673" s="1"/>
      <c r="T1673" s="1">
        <v>4108502.0</v>
      </c>
      <c r="U1673" s="1" t="s">
        <v>6950</v>
      </c>
      <c r="V1673" s="1" t="s">
        <v>176</v>
      </c>
      <c r="W1673" s="1" t="s">
        <v>59</v>
      </c>
      <c r="X1673" s="1"/>
      <c r="Y1673" s="1"/>
      <c r="Z1673" s="1" t="s">
        <v>147</v>
      </c>
      <c r="AA1673" s="1" t="s">
        <v>6951</v>
      </c>
      <c r="AB1673" s="1" t="str">
        <f>"***423899**"</f>
        <v>***423899**</v>
      </c>
      <c r="AC1673" s="1"/>
      <c r="AD1673" s="1"/>
      <c r="AE1673" s="1"/>
      <c r="AF1673" s="1">
        <v>-51.381386</v>
      </c>
      <c r="AG1673" s="1">
        <v>-26.32889</v>
      </c>
      <c r="AH1673" s="1" t="s">
        <v>6952</v>
      </c>
      <c r="AI1673" s="1"/>
      <c r="AJ1673" s="1" t="s">
        <v>358</v>
      </c>
      <c r="AK1673" s="1"/>
      <c r="AL1673" s="1" t="s">
        <v>79</v>
      </c>
      <c r="AM1673" s="1" t="s">
        <v>65</v>
      </c>
      <c r="AN1673" s="1" t="s">
        <v>1696</v>
      </c>
      <c r="AO1673" s="2">
        <v>43909.0</v>
      </c>
      <c r="AP1673" s="2">
        <v>43909.4585416667</v>
      </c>
      <c r="AQ1673" s="1" t="s">
        <v>80</v>
      </c>
      <c r="AR1673" s="1" t="s">
        <v>5582</v>
      </c>
      <c r="AS1673" s="1"/>
      <c r="AT1673" s="2">
        <v>44269.931099537</v>
      </c>
    </row>
    <row r="1674" ht="13.5" customHeight="1">
      <c r="A1674" s="1"/>
      <c r="B1674" s="1" t="s">
        <v>46</v>
      </c>
      <c r="C1674" s="1" t="s">
        <v>47</v>
      </c>
      <c r="D1674" s="1"/>
      <c r="E1674" s="1" t="s">
        <v>6953</v>
      </c>
      <c r="F1674" s="1"/>
      <c r="G1674" s="1"/>
      <c r="H1674" s="1" t="s">
        <v>93</v>
      </c>
      <c r="I1674" s="1">
        <v>42000.0</v>
      </c>
      <c r="J1674" s="1"/>
      <c r="K1674" s="1" t="s">
        <v>140</v>
      </c>
      <c r="L1674" s="1"/>
      <c r="M1674" s="1" t="s">
        <v>6954</v>
      </c>
      <c r="N1674" s="1" t="s">
        <v>95</v>
      </c>
      <c r="O1674" s="1" t="s">
        <v>96</v>
      </c>
      <c r="P1674" s="2">
        <v>43768.4056481482</v>
      </c>
      <c r="Q1674" s="1" t="s">
        <v>373</v>
      </c>
      <c r="R1674" s="1"/>
      <c r="S1674" s="1"/>
      <c r="T1674" s="1">
        <v>3148103.0</v>
      </c>
      <c r="U1674" s="1" t="s">
        <v>246</v>
      </c>
      <c r="V1674" s="1" t="s">
        <v>126</v>
      </c>
      <c r="W1674" s="1" t="s">
        <v>127</v>
      </c>
      <c r="X1674" s="1"/>
      <c r="Y1674" s="1"/>
      <c r="Z1674" s="1" t="s">
        <v>98</v>
      </c>
      <c r="AA1674" s="1" t="s">
        <v>6955</v>
      </c>
      <c r="AB1674" s="1" t="str">
        <f>"***017886**"</f>
        <v>***017886**</v>
      </c>
      <c r="AC1674" s="1"/>
      <c r="AD1674" s="1" t="s">
        <v>62</v>
      </c>
      <c r="AE1674" s="1"/>
      <c r="AF1674" s="1">
        <v>-46.989723</v>
      </c>
      <c r="AG1674" s="1">
        <v>-18.946388</v>
      </c>
      <c r="AH1674" s="1" t="s">
        <v>6956</v>
      </c>
      <c r="AI1674" s="1"/>
      <c r="AJ1674" s="1" t="s">
        <v>244</v>
      </c>
      <c r="AK1674" s="1"/>
      <c r="AL1674" s="1"/>
      <c r="AM1674" s="1" t="s">
        <v>65</v>
      </c>
      <c r="AN1674" s="1" t="s">
        <v>6873</v>
      </c>
      <c r="AO1674" s="1"/>
      <c r="AP1674" s="2">
        <v>43768.4382175926</v>
      </c>
      <c r="AQ1674" s="1"/>
      <c r="AR1674" s="1" t="s">
        <v>6891</v>
      </c>
      <c r="AS1674" s="1"/>
      <c r="AT1674" s="2">
        <v>44269.931099537</v>
      </c>
    </row>
    <row r="1675" ht="13.5" customHeight="1">
      <c r="A1675" s="1"/>
      <c r="B1675" s="1" t="s">
        <v>46</v>
      </c>
      <c r="C1675" s="1" t="s">
        <v>47</v>
      </c>
      <c r="D1675" s="1"/>
      <c r="E1675" s="1" t="s">
        <v>6957</v>
      </c>
      <c r="F1675" s="1"/>
      <c r="G1675" s="1" t="s">
        <v>49</v>
      </c>
      <c r="H1675" s="1" t="s">
        <v>93</v>
      </c>
      <c r="I1675" s="1">
        <v>55000.0</v>
      </c>
      <c r="J1675" s="1"/>
      <c r="K1675" s="1"/>
      <c r="L1675" s="1"/>
      <c r="M1675" s="1" t="s">
        <v>6958</v>
      </c>
      <c r="N1675" s="1" t="s">
        <v>142</v>
      </c>
      <c r="O1675" s="1" t="s">
        <v>143</v>
      </c>
      <c r="P1675" s="2">
        <v>43768.3997337963</v>
      </c>
      <c r="Q1675" s="1" t="s">
        <v>373</v>
      </c>
      <c r="R1675" s="1"/>
      <c r="S1675" s="1"/>
      <c r="T1675" s="1">
        <v>1200302.0</v>
      </c>
      <c r="U1675" s="1" t="s">
        <v>3319</v>
      </c>
      <c r="V1675" s="1" t="s">
        <v>498</v>
      </c>
      <c r="W1675" s="1" t="s">
        <v>177</v>
      </c>
      <c r="X1675" s="1"/>
      <c r="Y1675" s="1"/>
      <c r="Z1675" s="1" t="s">
        <v>147</v>
      </c>
      <c r="AA1675" s="1" t="s">
        <v>6959</v>
      </c>
      <c r="AB1675" s="1" t="str">
        <f>"***148772**"</f>
        <v>***148772**</v>
      </c>
      <c r="AC1675" s="1">
        <v>10.0</v>
      </c>
      <c r="AD1675" s="1" t="s">
        <v>116</v>
      </c>
      <c r="AE1675" s="1"/>
      <c r="AF1675" s="1">
        <v>-70.37278</v>
      </c>
      <c r="AG1675" s="1">
        <v>-8.309722</v>
      </c>
      <c r="AH1675" s="1" t="s">
        <v>6960</v>
      </c>
      <c r="AI1675" s="1"/>
      <c r="AJ1675" s="1" t="s">
        <v>3322</v>
      </c>
      <c r="AK1675" s="1"/>
      <c r="AL1675" s="1"/>
      <c r="AM1675" s="1" t="s">
        <v>65</v>
      </c>
      <c r="AN1675" s="1" t="s">
        <v>3305</v>
      </c>
      <c r="AO1675" s="1"/>
      <c r="AP1675" s="2">
        <v>43957.4523842593</v>
      </c>
      <c r="AQ1675" s="1"/>
      <c r="AR1675" s="1" t="s">
        <v>3478</v>
      </c>
      <c r="AS1675" s="1"/>
      <c r="AT1675" s="2">
        <v>44269.931099537</v>
      </c>
    </row>
    <row r="1676" ht="13.5" customHeight="1">
      <c r="A1676" s="1">
        <v>2035038.0</v>
      </c>
      <c r="B1676" s="1" t="s">
        <v>67</v>
      </c>
      <c r="C1676" s="1" t="s">
        <v>68</v>
      </c>
      <c r="D1676" s="1" t="s">
        <v>46</v>
      </c>
      <c r="E1676" s="1" t="s">
        <v>6961</v>
      </c>
      <c r="F1676" s="1"/>
      <c r="G1676" s="1" t="s">
        <v>70</v>
      </c>
      <c r="H1676" s="1" t="s">
        <v>93</v>
      </c>
      <c r="I1676" s="1">
        <v>150000.0</v>
      </c>
      <c r="J1676" s="1"/>
      <c r="K1676" s="1"/>
      <c r="L1676" s="1" t="s">
        <v>765</v>
      </c>
      <c r="M1676" s="1" t="s">
        <v>6962</v>
      </c>
      <c r="N1676" s="1" t="s">
        <v>72</v>
      </c>
      <c r="O1676" s="1" t="s">
        <v>73</v>
      </c>
      <c r="P1676" s="2">
        <v>43768.2916666667</v>
      </c>
      <c r="Q1676" s="1" t="s">
        <v>74</v>
      </c>
      <c r="R1676" s="3">
        <v>43767.0</v>
      </c>
      <c r="S1676" s="1"/>
      <c r="T1676" s="1">
        <v>1506005.0</v>
      </c>
      <c r="U1676" s="1" t="s">
        <v>1143</v>
      </c>
      <c r="V1676" s="1" t="s">
        <v>193</v>
      </c>
      <c r="W1676" s="1" t="s">
        <v>177</v>
      </c>
      <c r="X1676" s="1"/>
      <c r="Y1676" s="1" t="str">
        <f>"02048001998201967"</f>
        <v>02048001998201967</v>
      </c>
      <c r="Z1676" s="1" t="s">
        <v>76</v>
      </c>
      <c r="AA1676" s="1" t="s">
        <v>6963</v>
      </c>
      <c r="AB1676" s="1" t="str">
        <f>"08148455000160"</f>
        <v>08148455000160</v>
      </c>
      <c r="AC1676" s="1"/>
      <c r="AD1676" s="1"/>
      <c r="AE1676" s="1"/>
      <c r="AF1676" s="1">
        <v>-53.923889</v>
      </c>
      <c r="AG1676" s="1">
        <v>-2.784444</v>
      </c>
      <c r="AH1676" s="1" t="s">
        <v>6964</v>
      </c>
      <c r="AI1676" s="1"/>
      <c r="AJ1676" s="1" t="s">
        <v>765</v>
      </c>
      <c r="AK1676" s="1"/>
      <c r="AL1676" s="1" t="s">
        <v>79</v>
      </c>
      <c r="AM1676" s="1" t="s">
        <v>65</v>
      </c>
      <c r="AN1676" s="1" t="s">
        <v>1146</v>
      </c>
      <c r="AO1676" s="2">
        <v>43894.0</v>
      </c>
      <c r="AP1676" s="2">
        <v>43894.3831018519</v>
      </c>
      <c r="AQ1676" s="1" t="s">
        <v>80</v>
      </c>
      <c r="AR1676" s="1" t="s">
        <v>909</v>
      </c>
      <c r="AS1676" s="1"/>
      <c r="AT1676" s="2">
        <v>44269.931099537</v>
      </c>
    </row>
    <row r="1677" ht="13.5" customHeight="1">
      <c r="A1677" s="1"/>
      <c r="B1677" s="1" t="s">
        <v>46</v>
      </c>
      <c r="C1677" s="1" t="s">
        <v>47</v>
      </c>
      <c r="D1677" s="1"/>
      <c r="E1677" s="1" t="s">
        <v>6965</v>
      </c>
      <c r="F1677" s="1"/>
      <c r="G1677" s="1"/>
      <c r="H1677" s="1" t="s">
        <v>93</v>
      </c>
      <c r="I1677" s="1">
        <v>444000.0</v>
      </c>
      <c r="J1677" s="1"/>
      <c r="K1677" s="1"/>
      <c r="L1677" s="1"/>
      <c r="M1677" s="1" t="s">
        <v>6966</v>
      </c>
      <c r="N1677" s="1" t="s">
        <v>142</v>
      </c>
      <c r="O1677" s="1" t="s">
        <v>143</v>
      </c>
      <c r="P1677" s="2">
        <v>43767.8233217593</v>
      </c>
      <c r="Q1677" s="1" t="s">
        <v>373</v>
      </c>
      <c r="R1677" s="1"/>
      <c r="S1677" s="1"/>
      <c r="T1677" s="1">
        <v>2111052.0</v>
      </c>
      <c r="U1677" s="1" t="s">
        <v>6689</v>
      </c>
      <c r="V1677" s="1" t="s">
        <v>540</v>
      </c>
      <c r="W1677" s="1" t="s">
        <v>127</v>
      </c>
      <c r="X1677" s="1"/>
      <c r="Y1677" s="1"/>
      <c r="Z1677" s="1" t="s">
        <v>147</v>
      </c>
      <c r="AA1677" s="1" t="s">
        <v>6967</v>
      </c>
      <c r="AB1677" s="1" t="str">
        <f>"***399250**"</f>
        <v>***399250**</v>
      </c>
      <c r="AC1677" s="1"/>
      <c r="AD1677" s="1" t="s">
        <v>2103</v>
      </c>
      <c r="AE1677" s="1"/>
      <c r="AF1677" s="1">
        <v>-46.691391</v>
      </c>
      <c r="AG1677" s="1">
        <v>-6.214167</v>
      </c>
      <c r="AH1677" s="1" t="s">
        <v>6968</v>
      </c>
      <c r="AI1677" s="1"/>
      <c r="AJ1677" s="1" t="s">
        <v>537</v>
      </c>
      <c r="AK1677" s="1"/>
      <c r="AL1677" s="1"/>
      <c r="AM1677" s="1" t="s">
        <v>65</v>
      </c>
      <c r="AN1677" s="1" t="s">
        <v>4203</v>
      </c>
      <c r="AO1677" s="1"/>
      <c r="AP1677" s="2">
        <v>43768.7739583333</v>
      </c>
      <c r="AQ1677" s="1"/>
      <c r="AR1677" s="1" t="s">
        <v>2055</v>
      </c>
      <c r="AS1677" s="1"/>
      <c r="AT1677" s="2">
        <v>44269.931099537</v>
      </c>
    </row>
    <row r="1678" ht="13.5" customHeight="1">
      <c r="A1678" s="1"/>
      <c r="B1678" s="1" t="s">
        <v>46</v>
      </c>
      <c r="C1678" s="1" t="s">
        <v>47</v>
      </c>
      <c r="D1678" s="1"/>
      <c r="E1678" s="1" t="s">
        <v>6969</v>
      </c>
      <c r="F1678" s="1"/>
      <c r="G1678" s="1" t="s">
        <v>5034</v>
      </c>
      <c r="H1678" s="1" t="s">
        <v>50</v>
      </c>
      <c r="I1678" s="1">
        <v>250.0</v>
      </c>
      <c r="J1678" s="1"/>
      <c r="K1678" s="1" t="s">
        <v>51</v>
      </c>
      <c r="L1678" s="1"/>
      <c r="M1678" s="1" t="s">
        <v>6970</v>
      </c>
      <c r="N1678" s="1" t="s">
        <v>977</v>
      </c>
      <c r="O1678" s="1" t="s">
        <v>978</v>
      </c>
      <c r="P1678" s="2">
        <v>43767.7453703704</v>
      </c>
      <c r="Q1678" s="1" t="s">
        <v>74</v>
      </c>
      <c r="R1678" s="3">
        <v>43815.0</v>
      </c>
      <c r="S1678" s="1"/>
      <c r="T1678" s="1">
        <v>3509502.0</v>
      </c>
      <c r="U1678" s="1" t="s">
        <v>97</v>
      </c>
      <c r="V1678" s="1" t="s">
        <v>58</v>
      </c>
      <c r="W1678" s="1" t="s">
        <v>59</v>
      </c>
      <c r="X1678" s="1"/>
      <c r="Y1678" s="1"/>
      <c r="Z1678" s="1" t="s">
        <v>980</v>
      </c>
      <c r="AA1678" s="1" t="s">
        <v>6971</v>
      </c>
      <c r="AB1678" s="1" t="str">
        <f>"07101130000160"</f>
        <v>07101130000160</v>
      </c>
      <c r="AC1678" s="1"/>
      <c r="AD1678" s="1" t="s">
        <v>149</v>
      </c>
      <c r="AE1678" s="1"/>
      <c r="AF1678" s="1">
        <v>-47.144169</v>
      </c>
      <c r="AG1678" s="1">
        <v>-23.007778</v>
      </c>
      <c r="AH1678" s="1" t="s">
        <v>3543</v>
      </c>
      <c r="AI1678" s="1"/>
      <c r="AJ1678" s="1" t="s">
        <v>64</v>
      </c>
      <c r="AK1678" s="1"/>
      <c r="AL1678" s="1"/>
      <c r="AM1678" s="1" t="s">
        <v>65</v>
      </c>
      <c r="AN1678" s="1" t="s">
        <v>102</v>
      </c>
      <c r="AO1678" s="1"/>
      <c r="AP1678" s="2">
        <v>44183.7993402778</v>
      </c>
      <c r="AQ1678" s="1"/>
      <c r="AR1678" s="1" t="s">
        <v>984</v>
      </c>
      <c r="AS1678" s="1"/>
      <c r="AT1678" s="2">
        <v>44269.931099537</v>
      </c>
    </row>
    <row r="1679" ht="13.5" customHeight="1">
      <c r="A1679" s="1"/>
      <c r="B1679" s="1" t="s">
        <v>46</v>
      </c>
      <c r="C1679" s="1" t="s">
        <v>47</v>
      </c>
      <c r="D1679" s="1"/>
      <c r="E1679" s="1" t="s">
        <v>6972</v>
      </c>
      <c r="F1679" s="1"/>
      <c r="G1679" s="1" t="s">
        <v>49</v>
      </c>
      <c r="H1679" s="1" t="s">
        <v>93</v>
      </c>
      <c r="I1679" s="1">
        <v>50000.0</v>
      </c>
      <c r="J1679" s="1"/>
      <c r="K1679" s="1"/>
      <c r="L1679" s="1"/>
      <c r="M1679" s="1" t="s">
        <v>6973</v>
      </c>
      <c r="N1679" s="1" t="s">
        <v>142</v>
      </c>
      <c r="O1679" s="1" t="s">
        <v>143</v>
      </c>
      <c r="P1679" s="2">
        <v>43767.7267013889</v>
      </c>
      <c r="Q1679" s="1" t="s">
        <v>373</v>
      </c>
      <c r="R1679" s="1"/>
      <c r="S1679" s="1"/>
      <c r="T1679" s="1">
        <v>1200344.0</v>
      </c>
      <c r="U1679" s="1" t="s">
        <v>5820</v>
      </c>
      <c r="V1679" s="1" t="s">
        <v>498</v>
      </c>
      <c r="W1679" s="1" t="s">
        <v>177</v>
      </c>
      <c r="X1679" s="1"/>
      <c r="Y1679" s="1"/>
      <c r="Z1679" s="1" t="s">
        <v>147</v>
      </c>
      <c r="AA1679" s="1" t="s">
        <v>6974</v>
      </c>
      <c r="AB1679" s="1" t="str">
        <f>"***202252**"</f>
        <v>***202252**</v>
      </c>
      <c r="AC1679" s="1">
        <v>14.0</v>
      </c>
      <c r="AD1679" s="1" t="s">
        <v>116</v>
      </c>
      <c r="AE1679" s="1"/>
      <c r="AF1679" s="1">
        <v>-69.611664</v>
      </c>
      <c r="AG1679" s="1">
        <v>-8.696667</v>
      </c>
      <c r="AH1679" s="1" t="s">
        <v>6975</v>
      </c>
      <c r="AI1679" s="1"/>
      <c r="AJ1679" s="1" t="s">
        <v>3322</v>
      </c>
      <c r="AK1679" s="1"/>
      <c r="AL1679" s="1"/>
      <c r="AM1679" s="1" t="s">
        <v>65</v>
      </c>
      <c r="AN1679" s="1" t="s">
        <v>3305</v>
      </c>
      <c r="AO1679" s="1"/>
      <c r="AP1679" s="2">
        <v>43957.4527083333</v>
      </c>
      <c r="AQ1679" s="1"/>
      <c r="AR1679" s="1" t="s">
        <v>3478</v>
      </c>
      <c r="AS1679" s="1"/>
      <c r="AT1679" s="2">
        <v>44269.931099537</v>
      </c>
    </row>
    <row r="1680" ht="13.5" customHeight="1">
      <c r="A1680" s="1"/>
      <c r="B1680" s="1" t="s">
        <v>46</v>
      </c>
      <c r="C1680" s="1" t="s">
        <v>47</v>
      </c>
      <c r="D1680" s="1"/>
      <c r="E1680" s="1" t="s">
        <v>6976</v>
      </c>
      <c r="F1680" s="1"/>
      <c r="G1680" s="1" t="s">
        <v>49</v>
      </c>
      <c r="H1680" s="1" t="s">
        <v>93</v>
      </c>
      <c r="I1680" s="1">
        <v>86000.0</v>
      </c>
      <c r="J1680" s="1"/>
      <c r="K1680" s="1"/>
      <c r="L1680" s="1"/>
      <c r="M1680" s="1" t="s">
        <v>6977</v>
      </c>
      <c r="N1680" s="1" t="s">
        <v>142</v>
      </c>
      <c r="O1680" s="1" t="s">
        <v>143</v>
      </c>
      <c r="P1680" s="2">
        <v>43767.7258101852</v>
      </c>
      <c r="Q1680" s="1" t="s">
        <v>373</v>
      </c>
      <c r="R1680" s="1"/>
      <c r="S1680" s="1"/>
      <c r="T1680" s="1">
        <v>2104057.0</v>
      </c>
      <c r="U1680" s="1" t="s">
        <v>4700</v>
      </c>
      <c r="V1680" s="1" t="s">
        <v>540</v>
      </c>
      <c r="W1680" s="1" t="s">
        <v>127</v>
      </c>
      <c r="X1680" s="1"/>
      <c r="Y1680" s="1"/>
      <c r="Z1680" s="1" t="s">
        <v>147</v>
      </c>
      <c r="AA1680" s="1" t="s">
        <v>6978</v>
      </c>
      <c r="AB1680" s="1" t="str">
        <f>"***440714**"</f>
        <v>***440714**</v>
      </c>
      <c r="AC1680" s="1"/>
      <c r="AD1680" s="1" t="s">
        <v>116</v>
      </c>
      <c r="AE1680" s="1"/>
      <c r="AF1680" s="1">
        <v>-47.266666</v>
      </c>
      <c r="AG1680" s="1">
        <v>-6.881945</v>
      </c>
      <c r="AH1680" s="1" t="s">
        <v>6979</v>
      </c>
      <c r="AI1680" s="1"/>
      <c r="AJ1680" s="1" t="s">
        <v>537</v>
      </c>
      <c r="AK1680" s="1"/>
      <c r="AL1680" s="1"/>
      <c r="AM1680" s="1" t="s">
        <v>65</v>
      </c>
      <c r="AN1680" s="1" t="s">
        <v>4203</v>
      </c>
      <c r="AO1680" s="1"/>
      <c r="AP1680" s="2">
        <v>44065.7741435185</v>
      </c>
      <c r="AQ1680" s="1"/>
      <c r="AR1680" s="1" t="s">
        <v>2055</v>
      </c>
      <c r="AS1680" s="1"/>
      <c r="AT1680" s="2">
        <v>44269.931099537</v>
      </c>
    </row>
    <row r="1681" ht="13.5" customHeight="1">
      <c r="A1681" s="1"/>
      <c r="B1681" s="1" t="s">
        <v>46</v>
      </c>
      <c r="C1681" s="1" t="s">
        <v>47</v>
      </c>
      <c r="D1681" s="1"/>
      <c r="E1681" s="1" t="s">
        <v>6980</v>
      </c>
      <c r="F1681" s="1"/>
      <c r="G1681" s="1"/>
      <c r="H1681" s="1" t="s">
        <v>93</v>
      </c>
      <c r="I1681" s="1">
        <v>1500.0</v>
      </c>
      <c r="J1681" s="1"/>
      <c r="K1681" s="1" t="s">
        <v>140</v>
      </c>
      <c r="L1681" s="1"/>
      <c r="M1681" s="1" t="s">
        <v>6981</v>
      </c>
      <c r="N1681" s="1" t="s">
        <v>977</v>
      </c>
      <c r="O1681" s="1" t="s">
        <v>978</v>
      </c>
      <c r="P1681" s="2">
        <v>43767.6183333333</v>
      </c>
      <c r="Q1681" s="1" t="s">
        <v>74</v>
      </c>
      <c r="R1681" s="1"/>
      <c r="S1681" s="1"/>
      <c r="T1681" s="1">
        <v>5100409.0</v>
      </c>
      <c r="U1681" s="1" t="s">
        <v>6982</v>
      </c>
      <c r="V1681" s="1" t="s">
        <v>164</v>
      </c>
      <c r="W1681" s="1" t="s">
        <v>177</v>
      </c>
      <c r="X1681" s="1"/>
      <c r="Y1681" s="1"/>
      <c r="Z1681" s="1" t="s">
        <v>980</v>
      </c>
      <c r="AA1681" s="1" t="s">
        <v>6983</v>
      </c>
      <c r="AB1681" s="1" t="str">
        <f>"24375867000102"</f>
        <v>24375867000102</v>
      </c>
      <c r="AC1681" s="1"/>
      <c r="AD1681" s="1" t="s">
        <v>62</v>
      </c>
      <c r="AE1681" s="1"/>
      <c r="AF1681" s="1">
        <v>-53.488888</v>
      </c>
      <c r="AG1681" s="1">
        <v>-17.025278</v>
      </c>
      <c r="AH1681" s="1" t="s">
        <v>6984</v>
      </c>
      <c r="AI1681" s="1"/>
      <c r="AJ1681" s="1" t="s">
        <v>167</v>
      </c>
      <c r="AK1681" s="1"/>
      <c r="AL1681" s="1"/>
      <c r="AM1681" s="1" t="s">
        <v>65</v>
      </c>
      <c r="AN1681" s="1" t="s">
        <v>6985</v>
      </c>
      <c r="AO1681" s="1"/>
      <c r="AP1681" s="2">
        <v>43767.6328009259</v>
      </c>
      <c r="AQ1681" s="1"/>
      <c r="AR1681" s="1" t="s">
        <v>3544</v>
      </c>
      <c r="AS1681" s="1"/>
      <c r="AT1681" s="2">
        <v>44269.931099537</v>
      </c>
    </row>
    <row r="1682" ht="13.5" customHeight="1">
      <c r="A1682" s="1"/>
      <c r="B1682" s="1" t="s">
        <v>46</v>
      </c>
      <c r="C1682" s="1" t="s">
        <v>47</v>
      </c>
      <c r="D1682" s="1"/>
      <c r="E1682" s="1" t="s">
        <v>6986</v>
      </c>
      <c r="F1682" s="1"/>
      <c r="G1682" s="1" t="s">
        <v>49</v>
      </c>
      <c r="H1682" s="1" t="s">
        <v>93</v>
      </c>
      <c r="I1682" s="1">
        <v>105000.0</v>
      </c>
      <c r="J1682" s="1"/>
      <c r="K1682" s="1"/>
      <c r="L1682" s="1"/>
      <c r="M1682" s="1" t="s">
        <v>6987</v>
      </c>
      <c r="N1682" s="1" t="s">
        <v>142</v>
      </c>
      <c r="O1682" s="1" t="s">
        <v>143</v>
      </c>
      <c r="P1682" s="2">
        <v>43767.5942708333</v>
      </c>
      <c r="Q1682" s="1" t="s">
        <v>373</v>
      </c>
      <c r="R1682" s="1"/>
      <c r="S1682" s="1"/>
      <c r="T1682" s="1">
        <v>1200344.0</v>
      </c>
      <c r="U1682" s="1" t="s">
        <v>5820</v>
      </c>
      <c r="V1682" s="1" t="s">
        <v>498</v>
      </c>
      <c r="W1682" s="1" t="s">
        <v>177</v>
      </c>
      <c r="X1682" s="1"/>
      <c r="Y1682" s="1"/>
      <c r="Z1682" s="1" t="s">
        <v>147</v>
      </c>
      <c r="AA1682" s="1" t="s">
        <v>6988</v>
      </c>
      <c r="AB1682" s="1" t="str">
        <f>"***624652**"</f>
        <v>***624652**</v>
      </c>
      <c r="AC1682" s="1">
        <v>21.0</v>
      </c>
      <c r="AD1682" s="1" t="s">
        <v>116</v>
      </c>
      <c r="AE1682" s="1"/>
      <c r="AF1682" s="1">
        <v>-69.327225</v>
      </c>
      <c r="AG1682" s="1">
        <v>-8.848611</v>
      </c>
      <c r="AH1682" s="1" t="s">
        <v>6989</v>
      </c>
      <c r="AI1682" s="1"/>
      <c r="AJ1682" s="1" t="s">
        <v>3322</v>
      </c>
      <c r="AK1682" s="1"/>
      <c r="AL1682" s="1"/>
      <c r="AM1682" s="1" t="s">
        <v>65</v>
      </c>
      <c r="AN1682" s="1" t="s">
        <v>3305</v>
      </c>
      <c r="AO1682" s="1"/>
      <c r="AP1682" s="2">
        <v>43957.4531944445</v>
      </c>
      <c r="AQ1682" s="1"/>
      <c r="AR1682" s="1" t="s">
        <v>3478</v>
      </c>
      <c r="AS1682" s="1"/>
      <c r="AT1682" s="2">
        <v>44269.931099537</v>
      </c>
    </row>
    <row r="1683" ht="13.5" customHeight="1">
      <c r="A1683" s="1">
        <v>2035037.0</v>
      </c>
      <c r="B1683" s="1" t="s">
        <v>67</v>
      </c>
      <c r="C1683" s="1" t="s">
        <v>68</v>
      </c>
      <c r="D1683" s="1" t="s">
        <v>46</v>
      </c>
      <c r="E1683" s="1" t="s">
        <v>6990</v>
      </c>
      <c r="F1683" s="1"/>
      <c r="G1683" s="1" t="s">
        <v>70</v>
      </c>
      <c r="H1683" s="1" t="s">
        <v>93</v>
      </c>
      <c r="I1683" s="1">
        <v>100000.0</v>
      </c>
      <c r="J1683" s="1"/>
      <c r="K1683" s="1"/>
      <c r="L1683" s="1" t="s">
        <v>765</v>
      </c>
      <c r="M1683" s="1" t="s">
        <v>6991</v>
      </c>
      <c r="N1683" s="1" t="s">
        <v>72</v>
      </c>
      <c r="O1683" s="1" t="s">
        <v>73</v>
      </c>
      <c r="P1683" s="2">
        <v>43767.5833333333</v>
      </c>
      <c r="Q1683" s="1" t="s">
        <v>74</v>
      </c>
      <c r="R1683" s="3">
        <v>43768.0</v>
      </c>
      <c r="S1683" s="1"/>
      <c r="T1683" s="1">
        <v>1506005.0</v>
      </c>
      <c r="U1683" s="1" t="s">
        <v>1143</v>
      </c>
      <c r="V1683" s="1" t="s">
        <v>193</v>
      </c>
      <c r="W1683" s="1" t="s">
        <v>177</v>
      </c>
      <c r="X1683" s="1"/>
      <c r="Y1683" s="1" t="str">
        <f>"02048001999201910"</f>
        <v>02048001999201910</v>
      </c>
      <c r="Z1683" s="1" t="s">
        <v>76</v>
      </c>
      <c r="AA1683" s="1" t="s">
        <v>6963</v>
      </c>
      <c r="AB1683" s="1" t="str">
        <f>"08148455000160"</f>
        <v>08148455000160</v>
      </c>
      <c r="AC1683" s="1"/>
      <c r="AD1683" s="1"/>
      <c r="AE1683" s="1"/>
      <c r="AF1683" s="1">
        <v>-53.905281</v>
      </c>
      <c r="AG1683" s="1">
        <v>-2.820833</v>
      </c>
      <c r="AH1683" s="1" t="s">
        <v>6964</v>
      </c>
      <c r="AI1683" s="1"/>
      <c r="AJ1683" s="1" t="s">
        <v>765</v>
      </c>
      <c r="AK1683" s="1"/>
      <c r="AL1683" s="1" t="s">
        <v>79</v>
      </c>
      <c r="AM1683" s="1" t="s">
        <v>65</v>
      </c>
      <c r="AN1683" s="1" t="s">
        <v>1146</v>
      </c>
      <c r="AO1683" s="2">
        <v>43894.0</v>
      </c>
      <c r="AP1683" s="2">
        <v>43894.3829282407</v>
      </c>
      <c r="AQ1683" s="1" t="s">
        <v>80</v>
      </c>
      <c r="AR1683" s="1" t="s">
        <v>81</v>
      </c>
      <c r="AS1683" s="1"/>
      <c r="AT1683" s="2">
        <v>44269.931099537</v>
      </c>
    </row>
    <row r="1684" ht="13.5" customHeight="1">
      <c r="A1684" s="1">
        <v>2035073.0</v>
      </c>
      <c r="B1684" s="1" t="s">
        <v>67</v>
      </c>
      <c r="C1684" s="1" t="s">
        <v>68</v>
      </c>
      <c r="D1684" s="1" t="s">
        <v>46</v>
      </c>
      <c r="E1684" s="1" t="s">
        <v>6992</v>
      </c>
      <c r="F1684" s="1"/>
      <c r="G1684" s="1" t="s">
        <v>70</v>
      </c>
      <c r="H1684" s="1" t="s">
        <v>50</v>
      </c>
      <c r="I1684" s="1">
        <v>1500.0</v>
      </c>
      <c r="J1684" s="1"/>
      <c r="K1684" s="1"/>
      <c r="L1684" s="1" t="s">
        <v>336</v>
      </c>
      <c r="M1684" s="1" t="s">
        <v>6993</v>
      </c>
      <c r="N1684" s="1" t="s">
        <v>283</v>
      </c>
      <c r="O1684" s="1" t="s">
        <v>1133</v>
      </c>
      <c r="P1684" s="2">
        <v>43767.5833333333</v>
      </c>
      <c r="Q1684" s="1" t="s">
        <v>74</v>
      </c>
      <c r="R1684" s="3">
        <v>43775.0</v>
      </c>
      <c r="S1684" s="1"/>
      <c r="T1684" s="1">
        <v>5104104.0</v>
      </c>
      <c r="U1684" s="1" t="s">
        <v>6994</v>
      </c>
      <c r="V1684" s="1" t="s">
        <v>164</v>
      </c>
      <c r="W1684" s="1" t="s">
        <v>177</v>
      </c>
      <c r="X1684" s="1"/>
      <c r="Y1684" s="1" t="str">
        <f>"02054000225202018"</f>
        <v>02054000225202018</v>
      </c>
      <c r="Z1684" s="1" t="s">
        <v>128</v>
      </c>
      <c r="AA1684" s="1" t="s">
        <v>6995</v>
      </c>
      <c r="AB1684" s="1" t="str">
        <f>"***948419**"</f>
        <v>***948419**</v>
      </c>
      <c r="AC1684" s="1"/>
      <c r="AD1684" s="1"/>
      <c r="AE1684" s="1"/>
      <c r="AF1684" s="1">
        <v>-54.725555</v>
      </c>
      <c r="AG1684" s="1">
        <v>-9.461945</v>
      </c>
      <c r="AH1684" s="1" t="s">
        <v>6996</v>
      </c>
      <c r="AI1684" s="1"/>
      <c r="AJ1684" s="1" t="s">
        <v>336</v>
      </c>
      <c r="AK1684" s="1"/>
      <c r="AL1684" s="1" t="s">
        <v>79</v>
      </c>
      <c r="AM1684" s="1" t="s">
        <v>65</v>
      </c>
      <c r="AN1684" s="1" t="s">
        <v>152</v>
      </c>
      <c r="AO1684" s="2">
        <v>43894.0</v>
      </c>
      <c r="AP1684" s="2">
        <v>43894.5142939815</v>
      </c>
      <c r="AQ1684" s="1" t="s">
        <v>80</v>
      </c>
      <c r="AR1684" s="1" t="s">
        <v>1078</v>
      </c>
      <c r="AS1684" s="1"/>
      <c r="AT1684" s="2">
        <v>44269.931099537</v>
      </c>
    </row>
    <row r="1685" ht="13.5" customHeight="1">
      <c r="A1685" s="1">
        <v>2035600.0</v>
      </c>
      <c r="B1685" s="1" t="s">
        <v>67</v>
      </c>
      <c r="C1685" s="1" t="s">
        <v>68</v>
      </c>
      <c r="D1685" s="1" t="s">
        <v>46</v>
      </c>
      <c r="E1685" s="1" t="s">
        <v>6997</v>
      </c>
      <c r="F1685" s="1"/>
      <c r="G1685" s="1" t="s">
        <v>70</v>
      </c>
      <c r="H1685" s="1" t="s">
        <v>93</v>
      </c>
      <c r="I1685" s="1">
        <v>115000.0</v>
      </c>
      <c r="J1685" s="1"/>
      <c r="K1685" s="1"/>
      <c r="L1685" s="1" t="s">
        <v>3322</v>
      </c>
      <c r="M1685" s="1" t="s">
        <v>6998</v>
      </c>
      <c r="N1685" s="1" t="s">
        <v>142</v>
      </c>
      <c r="O1685" s="1" t="s">
        <v>143</v>
      </c>
      <c r="P1685" s="2">
        <v>43767.5833333333</v>
      </c>
      <c r="Q1685" s="1" t="s">
        <v>373</v>
      </c>
      <c r="R1685" s="3">
        <v>43767.0</v>
      </c>
      <c r="S1685" s="1"/>
      <c r="T1685" s="1">
        <v>1200344.0</v>
      </c>
      <c r="U1685" s="1" t="s">
        <v>5820</v>
      </c>
      <c r="V1685" s="1" t="s">
        <v>498</v>
      </c>
      <c r="W1685" s="1" t="s">
        <v>177</v>
      </c>
      <c r="X1685" s="1"/>
      <c r="Y1685" s="1" t="str">
        <f>"02002000102202092"</f>
        <v>02002000102202092</v>
      </c>
      <c r="Z1685" s="1" t="s">
        <v>147</v>
      </c>
      <c r="AA1685" s="1" t="s">
        <v>6999</v>
      </c>
      <c r="AB1685" s="1" t="str">
        <f>"***511632**"</f>
        <v>***511632**</v>
      </c>
      <c r="AC1685" s="1"/>
      <c r="AD1685" s="1"/>
      <c r="AE1685" s="1"/>
      <c r="AF1685" s="1">
        <v>-69.348892</v>
      </c>
      <c r="AG1685" s="1">
        <v>-8.840555</v>
      </c>
      <c r="AH1685" s="1" t="s">
        <v>7000</v>
      </c>
      <c r="AI1685" s="1"/>
      <c r="AJ1685" s="1" t="s">
        <v>3322</v>
      </c>
      <c r="AK1685" s="1"/>
      <c r="AL1685" s="1" t="s">
        <v>79</v>
      </c>
      <c r="AM1685" s="1" t="s">
        <v>65</v>
      </c>
      <c r="AN1685" s="1" t="s">
        <v>3305</v>
      </c>
      <c r="AO1685" s="2">
        <v>43909.0</v>
      </c>
      <c r="AP1685" s="2">
        <v>43909.620462963</v>
      </c>
      <c r="AQ1685" s="1" t="s">
        <v>80</v>
      </c>
      <c r="AR1685" s="1" t="s">
        <v>451</v>
      </c>
      <c r="AS1685" s="1"/>
      <c r="AT1685" s="2">
        <v>44269.931099537</v>
      </c>
    </row>
    <row r="1686" ht="13.5" customHeight="1">
      <c r="A1686" s="1"/>
      <c r="B1686" s="1" t="s">
        <v>46</v>
      </c>
      <c r="C1686" s="1" t="s">
        <v>47</v>
      </c>
      <c r="D1686" s="1"/>
      <c r="E1686" s="1" t="s">
        <v>7001</v>
      </c>
      <c r="F1686" s="1"/>
      <c r="G1686" s="1" t="s">
        <v>49</v>
      </c>
      <c r="H1686" s="1" t="s">
        <v>93</v>
      </c>
      <c r="I1686" s="1">
        <v>125000.0</v>
      </c>
      <c r="J1686" s="1"/>
      <c r="K1686" s="1"/>
      <c r="L1686" s="1"/>
      <c r="M1686" s="1" t="s">
        <v>7002</v>
      </c>
      <c r="N1686" s="1" t="s">
        <v>142</v>
      </c>
      <c r="O1686" s="1" t="s">
        <v>143</v>
      </c>
      <c r="P1686" s="2">
        <v>43767.5435648148</v>
      </c>
      <c r="Q1686" s="1" t="s">
        <v>373</v>
      </c>
      <c r="R1686" s="1"/>
      <c r="S1686" s="1"/>
      <c r="T1686" s="1">
        <v>1200344.0</v>
      </c>
      <c r="U1686" s="1" t="s">
        <v>5820</v>
      </c>
      <c r="V1686" s="1" t="s">
        <v>498</v>
      </c>
      <c r="W1686" s="1" t="s">
        <v>177</v>
      </c>
      <c r="X1686" s="1"/>
      <c r="Y1686" s="1"/>
      <c r="Z1686" s="1" t="s">
        <v>147</v>
      </c>
      <c r="AA1686" s="1" t="s">
        <v>7003</v>
      </c>
      <c r="AB1686" s="1" t="str">
        <f>"***009832**"</f>
        <v>***009832**</v>
      </c>
      <c r="AC1686" s="1">
        <v>24.0</v>
      </c>
      <c r="AD1686" s="1" t="s">
        <v>116</v>
      </c>
      <c r="AE1686" s="1"/>
      <c r="AF1686" s="1">
        <v>-69.284996</v>
      </c>
      <c r="AG1686" s="1">
        <v>-8.7775</v>
      </c>
      <c r="AH1686" s="1" t="s">
        <v>7004</v>
      </c>
      <c r="AI1686" s="1"/>
      <c r="AJ1686" s="1" t="s">
        <v>3322</v>
      </c>
      <c r="AK1686" s="1"/>
      <c r="AL1686" s="1"/>
      <c r="AM1686" s="1" t="s">
        <v>65</v>
      </c>
      <c r="AN1686" s="1" t="s">
        <v>3305</v>
      </c>
      <c r="AO1686" s="1"/>
      <c r="AP1686" s="2">
        <v>43957.4533449074</v>
      </c>
      <c r="AQ1686" s="1"/>
      <c r="AR1686" s="1" t="s">
        <v>3478</v>
      </c>
      <c r="AS1686" s="1"/>
      <c r="AT1686" s="2">
        <v>44269.931099537</v>
      </c>
    </row>
    <row r="1687" ht="13.5" customHeight="1">
      <c r="A1687" s="1">
        <v>2039458.0</v>
      </c>
      <c r="B1687" s="1" t="s">
        <v>67</v>
      </c>
      <c r="C1687" s="1" t="s">
        <v>68</v>
      </c>
      <c r="D1687" s="1" t="s">
        <v>46</v>
      </c>
      <c r="E1687" s="1" t="s">
        <v>7005</v>
      </c>
      <c r="F1687" s="1"/>
      <c r="G1687" s="1" t="s">
        <v>70</v>
      </c>
      <c r="H1687" s="1" t="s">
        <v>93</v>
      </c>
      <c r="I1687" s="1">
        <v>1000.0</v>
      </c>
      <c r="J1687" s="1"/>
      <c r="K1687" s="1"/>
      <c r="L1687" s="1" t="s">
        <v>64</v>
      </c>
      <c r="M1687" s="1" t="s">
        <v>6471</v>
      </c>
      <c r="N1687" s="1" t="s">
        <v>72</v>
      </c>
      <c r="O1687" s="1" t="s">
        <v>73</v>
      </c>
      <c r="P1687" s="2">
        <v>43767.5</v>
      </c>
      <c r="Q1687" s="1" t="s">
        <v>74</v>
      </c>
      <c r="R1687" s="3">
        <v>43814.0</v>
      </c>
      <c r="S1687" s="1"/>
      <c r="T1687" s="1">
        <v>3509502.0</v>
      </c>
      <c r="U1687" s="1" t="s">
        <v>97</v>
      </c>
      <c r="V1687" s="1" t="s">
        <v>58</v>
      </c>
      <c r="W1687" s="1" t="s">
        <v>59</v>
      </c>
      <c r="X1687" s="1"/>
      <c r="Y1687" s="1" t="str">
        <f>"02027022671201977"</f>
        <v>02027022671201977</v>
      </c>
      <c r="Z1687" s="1" t="s">
        <v>76</v>
      </c>
      <c r="AA1687" s="1" t="s">
        <v>7006</v>
      </c>
      <c r="AB1687" s="1" t="str">
        <f>"07101130000160"</f>
        <v>07101130000160</v>
      </c>
      <c r="AC1687" s="1"/>
      <c r="AD1687" s="1"/>
      <c r="AE1687" s="1"/>
      <c r="AF1687" s="1">
        <v>-47.144169</v>
      </c>
      <c r="AG1687" s="1">
        <v>-23.007778</v>
      </c>
      <c r="AH1687" s="1" t="s">
        <v>3543</v>
      </c>
      <c r="AI1687" s="1"/>
      <c r="AJ1687" s="1" t="s">
        <v>64</v>
      </c>
      <c r="AK1687" s="1"/>
      <c r="AL1687" s="1" t="s">
        <v>79</v>
      </c>
      <c r="AM1687" s="1" t="s">
        <v>65</v>
      </c>
      <c r="AN1687" s="1" t="s">
        <v>102</v>
      </c>
      <c r="AO1687" s="2">
        <v>44063.0</v>
      </c>
      <c r="AP1687" s="2">
        <v>44063.4024652778</v>
      </c>
      <c r="AQ1687" s="1" t="s">
        <v>80</v>
      </c>
      <c r="AR1687" s="1" t="s">
        <v>1072</v>
      </c>
      <c r="AS1687" s="1"/>
      <c r="AT1687" s="2">
        <v>44269.931099537</v>
      </c>
    </row>
    <row r="1688" ht="13.5" customHeight="1">
      <c r="A1688" s="1"/>
      <c r="B1688" s="1" t="s">
        <v>46</v>
      </c>
      <c r="C1688" s="1" t="s">
        <v>47</v>
      </c>
      <c r="D1688" s="1"/>
      <c r="E1688" s="1" t="s">
        <v>7007</v>
      </c>
      <c r="F1688" s="1"/>
      <c r="G1688" s="1" t="s">
        <v>49</v>
      </c>
      <c r="H1688" s="1" t="s">
        <v>50</v>
      </c>
      <c r="I1688" s="1">
        <v>4100.0</v>
      </c>
      <c r="J1688" s="1"/>
      <c r="K1688" s="1" t="s">
        <v>140</v>
      </c>
      <c r="L1688" s="1"/>
      <c r="M1688" s="1" t="s">
        <v>7008</v>
      </c>
      <c r="N1688" s="1" t="s">
        <v>283</v>
      </c>
      <c r="O1688" s="1" t="s">
        <v>1133</v>
      </c>
      <c r="P1688" s="2">
        <v>43767.4982407407</v>
      </c>
      <c r="Q1688" s="1" t="s">
        <v>55</v>
      </c>
      <c r="R1688" s="1"/>
      <c r="S1688" s="1"/>
      <c r="T1688" s="1">
        <v>3502101.0</v>
      </c>
      <c r="U1688" s="1" t="s">
        <v>7009</v>
      </c>
      <c r="V1688" s="1" t="s">
        <v>58</v>
      </c>
      <c r="W1688" s="1" t="s">
        <v>59</v>
      </c>
      <c r="X1688" s="1"/>
      <c r="Y1688" s="1"/>
      <c r="Z1688" s="1" t="s">
        <v>128</v>
      </c>
      <c r="AA1688" s="1" t="s">
        <v>7010</v>
      </c>
      <c r="AB1688" s="1" t="str">
        <f>"00437992000119"</f>
        <v>00437992000119</v>
      </c>
      <c r="AC1688" s="1"/>
      <c r="AD1688" s="1" t="s">
        <v>149</v>
      </c>
      <c r="AE1688" s="1"/>
      <c r="AF1688" s="1">
        <v>-51.301388</v>
      </c>
      <c r="AG1688" s="1">
        <v>-20.935276</v>
      </c>
      <c r="AH1688" s="1" t="s">
        <v>7011</v>
      </c>
      <c r="AI1688" s="1"/>
      <c r="AJ1688" s="1" t="s">
        <v>64</v>
      </c>
      <c r="AK1688" s="1"/>
      <c r="AL1688" s="1"/>
      <c r="AM1688" s="1" t="s">
        <v>65</v>
      </c>
      <c r="AN1688" s="1" t="s">
        <v>6914</v>
      </c>
      <c r="AO1688" s="1"/>
      <c r="AP1688" s="2">
        <v>44253.7879976852</v>
      </c>
      <c r="AQ1688" s="1"/>
      <c r="AR1688" s="1" t="s">
        <v>6029</v>
      </c>
      <c r="AS1688" s="1"/>
      <c r="AT1688" s="2">
        <v>44269.931099537</v>
      </c>
    </row>
    <row r="1689" ht="13.5" customHeight="1">
      <c r="A1689" s="1"/>
      <c r="B1689" s="1" t="s">
        <v>46</v>
      </c>
      <c r="C1689" s="1" t="s">
        <v>47</v>
      </c>
      <c r="D1689" s="1"/>
      <c r="E1689" s="1" t="s">
        <v>7012</v>
      </c>
      <c r="F1689" s="1"/>
      <c r="G1689" s="1"/>
      <c r="H1689" s="1" t="s">
        <v>93</v>
      </c>
      <c r="I1689" s="1">
        <v>36000.0</v>
      </c>
      <c r="J1689" s="1"/>
      <c r="K1689" s="1"/>
      <c r="L1689" s="1"/>
      <c r="M1689" s="1" t="s">
        <v>7013</v>
      </c>
      <c r="N1689" s="1" t="s">
        <v>95</v>
      </c>
      <c r="O1689" s="1" t="s">
        <v>96</v>
      </c>
      <c r="P1689" s="2">
        <v>43767.4905092593</v>
      </c>
      <c r="Q1689" s="1" t="s">
        <v>373</v>
      </c>
      <c r="R1689" s="1"/>
      <c r="S1689" s="1"/>
      <c r="T1689" s="1">
        <v>3148103.0</v>
      </c>
      <c r="U1689" s="1" t="s">
        <v>246</v>
      </c>
      <c r="V1689" s="1" t="s">
        <v>126</v>
      </c>
      <c r="W1689" s="1" t="s">
        <v>127</v>
      </c>
      <c r="X1689" s="1"/>
      <c r="Y1689" s="1"/>
      <c r="Z1689" s="1" t="s">
        <v>98</v>
      </c>
      <c r="AA1689" s="1" t="s">
        <v>7014</v>
      </c>
      <c r="AB1689" s="1" t="str">
        <f>"***441256**"</f>
        <v>***441256**</v>
      </c>
      <c r="AC1689" s="1"/>
      <c r="AD1689" s="1" t="s">
        <v>62</v>
      </c>
      <c r="AE1689" s="1"/>
      <c r="AF1689" s="1">
        <v>-47.933056</v>
      </c>
      <c r="AG1689" s="1">
        <v>-15.83</v>
      </c>
      <c r="AH1689" s="1" t="s">
        <v>7015</v>
      </c>
      <c r="AI1689" s="1"/>
      <c r="AJ1689" s="1" t="s">
        <v>244</v>
      </c>
      <c r="AK1689" s="1"/>
      <c r="AL1689" s="1"/>
      <c r="AM1689" s="1" t="s">
        <v>65</v>
      </c>
      <c r="AN1689" s="1" t="s">
        <v>6873</v>
      </c>
      <c r="AO1689" s="1"/>
      <c r="AP1689" s="2">
        <v>43767.5081481482</v>
      </c>
      <c r="AQ1689" s="1"/>
      <c r="AR1689" s="1" t="s">
        <v>7016</v>
      </c>
      <c r="AS1689" s="1"/>
      <c r="AT1689" s="2">
        <v>44269.931099537</v>
      </c>
    </row>
    <row r="1690" ht="13.5" customHeight="1">
      <c r="A1690" s="1"/>
      <c r="B1690" s="1" t="s">
        <v>46</v>
      </c>
      <c r="C1690" s="1" t="s">
        <v>47</v>
      </c>
      <c r="D1690" s="1"/>
      <c r="E1690" s="1" t="s">
        <v>7017</v>
      </c>
      <c r="F1690" s="1"/>
      <c r="G1690" s="1" t="s">
        <v>49</v>
      </c>
      <c r="H1690" s="1" t="s">
        <v>50</v>
      </c>
      <c r="I1690" s="1">
        <v>2600.0</v>
      </c>
      <c r="J1690" s="1"/>
      <c r="K1690" s="1" t="s">
        <v>140</v>
      </c>
      <c r="L1690" s="1"/>
      <c r="M1690" s="1" t="s">
        <v>7018</v>
      </c>
      <c r="N1690" s="1" t="s">
        <v>977</v>
      </c>
      <c r="O1690" s="1" t="s">
        <v>978</v>
      </c>
      <c r="P1690" s="2">
        <v>43767.4687847222</v>
      </c>
      <c r="Q1690" s="1" t="s">
        <v>55</v>
      </c>
      <c r="R1690" s="1"/>
      <c r="S1690" s="1"/>
      <c r="T1690" s="1">
        <v>3502101.0</v>
      </c>
      <c r="U1690" s="1" t="s">
        <v>7009</v>
      </c>
      <c r="V1690" s="1" t="s">
        <v>58</v>
      </c>
      <c r="W1690" s="1" t="s">
        <v>59</v>
      </c>
      <c r="X1690" s="1"/>
      <c r="Y1690" s="1"/>
      <c r="Z1690" s="1" t="s">
        <v>980</v>
      </c>
      <c r="AA1690" s="1" t="s">
        <v>7019</v>
      </c>
      <c r="AB1690" s="1" t="str">
        <f>"22779647000104"</f>
        <v>22779647000104</v>
      </c>
      <c r="AC1690" s="1"/>
      <c r="AD1690" s="1" t="s">
        <v>149</v>
      </c>
      <c r="AE1690" s="1"/>
      <c r="AF1690" s="1">
        <v>-51.301666</v>
      </c>
      <c r="AG1690" s="1">
        <v>-20.935555</v>
      </c>
      <c r="AH1690" s="1" t="s">
        <v>7020</v>
      </c>
      <c r="AI1690" s="1"/>
      <c r="AJ1690" s="1" t="s">
        <v>64</v>
      </c>
      <c r="AK1690" s="1"/>
      <c r="AL1690" s="1"/>
      <c r="AM1690" s="1" t="s">
        <v>65</v>
      </c>
      <c r="AN1690" s="1" t="s">
        <v>6914</v>
      </c>
      <c r="AO1690" s="1"/>
      <c r="AP1690" s="2">
        <v>44253.7888657407</v>
      </c>
      <c r="AQ1690" s="1"/>
      <c r="AR1690" s="1" t="s">
        <v>6029</v>
      </c>
      <c r="AS1690" s="1"/>
      <c r="AT1690" s="2">
        <v>44269.931099537</v>
      </c>
    </row>
    <row r="1691" ht="13.5" customHeight="1">
      <c r="A1691" s="1"/>
      <c r="B1691" s="1" t="s">
        <v>46</v>
      </c>
      <c r="C1691" s="1" t="s">
        <v>47</v>
      </c>
      <c r="D1691" s="1"/>
      <c r="E1691" s="1" t="s">
        <v>7021</v>
      </c>
      <c r="F1691" s="1"/>
      <c r="G1691" s="1"/>
      <c r="H1691" s="1" t="s">
        <v>93</v>
      </c>
      <c r="I1691" s="1">
        <v>5200.0</v>
      </c>
      <c r="J1691" s="1"/>
      <c r="K1691" s="1" t="s">
        <v>51</v>
      </c>
      <c r="L1691" s="1"/>
      <c r="M1691" s="1" t="s">
        <v>7022</v>
      </c>
      <c r="N1691" s="1" t="s">
        <v>95</v>
      </c>
      <c r="O1691" s="1" t="s">
        <v>96</v>
      </c>
      <c r="P1691" s="2">
        <v>43767.4615277778</v>
      </c>
      <c r="Q1691" s="1" t="s">
        <v>55</v>
      </c>
      <c r="R1691" s="1"/>
      <c r="S1691" s="1"/>
      <c r="T1691" s="1">
        <v>3148103.0</v>
      </c>
      <c r="U1691" s="1" t="s">
        <v>246</v>
      </c>
      <c r="V1691" s="1" t="s">
        <v>126</v>
      </c>
      <c r="W1691" s="1" t="s">
        <v>127</v>
      </c>
      <c r="X1691" s="1"/>
      <c r="Y1691" s="1"/>
      <c r="Z1691" s="1" t="s">
        <v>98</v>
      </c>
      <c r="AA1691" s="1" t="s">
        <v>7014</v>
      </c>
      <c r="AB1691" s="1" t="str">
        <f>"***441256**"</f>
        <v>***441256**</v>
      </c>
      <c r="AC1691" s="1"/>
      <c r="AD1691" s="1" t="s">
        <v>62</v>
      </c>
      <c r="AE1691" s="1"/>
      <c r="AF1691" s="1">
        <v>-47.933056</v>
      </c>
      <c r="AG1691" s="1">
        <v>-15.83</v>
      </c>
      <c r="AH1691" s="1" t="s">
        <v>7023</v>
      </c>
      <c r="AI1691" s="1"/>
      <c r="AJ1691" s="1" t="s">
        <v>244</v>
      </c>
      <c r="AK1691" s="1"/>
      <c r="AL1691" s="1"/>
      <c r="AM1691" s="1" t="s">
        <v>65</v>
      </c>
      <c r="AN1691" s="1" t="s">
        <v>6873</v>
      </c>
      <c r="AO1691" s="1"/>
      <c r="AP1691" s="2">
        <v>43767.5160185185</v>
      </c>
      <c r="AQ1691" s="1"/>
      <c r="AR1691" s="1" t="s">
        <v>822</v>
      </c>
      <c r="AS1691" s="1"/>
      <c r="AT1691" s="2">
        <v>44269.931099537</v>
      </c>
    </row>
    <row r="1692" ht="13.5" customHeight="1">
      <c r="A1692" s="1">
        <v>2039472.0</v>
      </c>
      <c r="B1692" s="1" t="s">
        <v>67</v>
      </c>
      <c r="C1692" s="1" t="s">
        <v>68</v>
      </c>
      <c r="D1692" s="1" t="s">
        <v>46</v>
      </c>
      <c r="E1692" s="1" t="s">
        <v>7024</v>
      </c>
      <c r="F1692" s="1"/>
      <c r="G1692" s="1" t="s">
        <v>70</v>
      </c>
      <c r="H1692" s="1" t="s">
        <v>93</v>
      </c>
      <c r="I1692" s="1">
        <v>55000.0</v>
      </c>
      <c r="J1692" s="1"/>
      <c r="K1692" s="1"/>
      <c r="L1692" s="1" t="s">
        <v>537</v>
      </c>
      <c r="M1692" s="1" t="s">
        <v>7025</v>
      </c>
      <c r="N1692" s="1" t="s">
        <v>142</v>
      </c>
      <c r="O1692" s="1" t="s">
        <v>143</v>
      </c>
      <c r="P1692" s="2">
        <v>43767.4583333333</v>
      </c>
      <c r="Q1692" s="1" t="s">
        <v>373</v>
      </c>
      <c r="R1692" s="3">
        <v>43767.0</v>
      </c>
      <c r="S1692" s="1"/>
      <c r="T1692" s="1">
        <v>2105989.0</v>
      </c>
      <c r="U1692" s="1" t="s">
        <v>7026</v>
      </c>
      <c r="V1692" s="1" t="s">
        <v>540</v>
      </c>
      <c r="W1692" s="1" t="s">
        <v>127</v>
      </c>
      <c r="X1692" s="1"/>
      <c r="Y1692" s="1" t="str">
        <f>"02012002101202063"</f>
        <v>02012002101202063</v>
      </c>
      <c r="Z1692" s="1" t="s">
        <v>147</v>
      </c>
      <c r="AA1692" s="1" t="s">
        <v>7027</v>
      </c>
      <c r="AB1692" s="1" t="str">
        <f>"***188103**"</f>
        <v>***188103**</v>
      </c>
      <c r="AC1692" s="1"/>
      <c r="AD1692" s="1"/>
      <c r="AE1692" s="1"/>
      <c r="AF1692" s="1">
        <v>-46.865276</v>
      </c>
      <c r="AG1692" s="1">
        <v>-6.190834</v>
      </c>
      <c r="AH1692" s="1" t="s">
        <v>7028</v>
      </c>
      <c r="AI1692" s="1"/>
      <c r="AJ1692" s="1" t="s">
        <v>537</v>
      </c>
      <c r="AK1692" s="1"/>
      <c r="AL1692" s="1" t="s">
        <v>79</v>
      </c>
      <c r="AM1692" s="1" t="s">
        <v>65</v>
      </c>
      <c r="AN1692" s="1" t="s">
        <v>4203</v>
      </c>
      <c r="AO1692" s="2">
        <v>44063.0</v>
      </c>
      <c r="AP1692" s="2">
        <v>44063.638275463</v>
      </c>
      <c r="AQ1692" s="1" t="s">
        <v>80</v>
      </c>
      <c r="AR1692" s="1" t="s">
        <v>2065</v>
      </c>
      <c r="AS1692" s="1"/>
      <c r="AT1692" s="2">
        <v>44269.931099537</v>
      </c>
    </row>
    <row r="1693" ht="13.5" customHeight="1">
      <c r="A1693" s="1">
        <v>2039616.0</v>
      </c>
      <c r="B1693" s="1" t="s">
        <v>67</v>
      </c>
      <c r="C1693" s="1" t="s">
        <v>68</v>
      </c>
      <c r="D1693" s="1" t="s">
        <v>46</v>
      </c>
      <c r="E1693" s="1" t="s">
        <v>7029</v>
      </c>
      <c r="F1693" s="1"/>
      <c r="G1693" s="1" t="s">
        <v>70</v>
      </c>
      <c r="H1693" s="1" t="s">
        <v>93</v>
      </c>
      <c r="I1693" s="1">
        <v>1626.0</v>
      </c>
      <c r="J1693" s="1"/>
      <c r="K1693" s="1"/>
      <c r="L1693" s="1" t="s">
        <v>415</v>
      </c>
      <c r="M1693" s="1" t="s">
        <v>7030</v>
      </c>
      <c r="N1693" s="1" t="s">
        <v>142</v>
      </c>
      <c r="O1693" s="1" t="s">
        <v>143</v>
      </c>
      <c r="P1693" s="2">
        <v>43767.4583333333</v>
      </c>
      <c r="Q1693" s="1" t="s">
        <v>373</v>
      </c>
      <c r="R1693" s="3">
        <v>43767.0</v>
      </c>
      <c r="S1693" s="1"/>
      <c r="T1693" s="1">
        <v>1400209.0</v>
      </c>
      <c r="U1693" s="1" t="s">
        <v>1162</v>
      </c>
      <c r="V1693" s="1" t="s">
        <v>186</v>
      </c>
      <c r="W1693" s="1" t="s">
        <v>177</v>
      </c>
      <c r="X1693" s="1"/>
      <c r="Y1693" s="1"/>
      <c r="Z1693" s="1" t="s">
        <v>147</v>
      </c>
      <c r="AA1693" s="1" t="s">
        <v>7031</v>
      </c>
      <c r="AB1693" s="1" t="str">
        <f>"***716272**"</f>
        <v>***716272**</v>
      </c>
      <c r="AC1693" s="1"/>
      <c r="AD1693" s="1"/>
      <c r="AE1693" s="1"/>
      <c r="AF1693" s="1">
        <v>-60.386669</v>
      </c>
      <c r="AG1693" s="1">
        <v>1.219722</v>
      </c>
      <c r="AH1693" s="1" t="s">
        <v>7032</v>
      </c>
      <c r="AI1693" s="1"/>
      <c r="AJ1693" s="1" t="s">
        <v>415</v>
      </c>
      <c r="AK1693" s="1"/>
      <c r="AL1693" s="1" t="s">
        <v>79</v>
      </c>
      <c r="AM1693" s="1" t="s">
        <v>65</v>
      </c>
      <c r="AN1693" s="1" t="s">
        <v>1165</v>
      </c>
      <c r="AO1693" s="2">
        <v>44069.0</v>
      </c>
      <c r="AP1693" s="2">
        <v>44069.6003356482</v>
      </c>
      <c r="AQ1693" s="1" t="s">
        <v>80</v>
      </c>
      <c r="AR1693" s="1" t="s">
        <v>181</v>
      </c>
      <c r="AS1693" s="1"/>
      <c r="AT1693" s="2">
        <v>44269.931099537</v>
      </c>
    </row>
    <row r="1694" ht="13.5" customHeight="1">
      <c r="A1694" s="1">
        <v>2039237.0</v>
      </c>
      <c r="B1694" s="1" t="s">
        <v>67</v>
      </c>
      <c r="C1694" s="1" t="s">
        <v>68</v>
      </c>
      <c r="D1694" s="1" t="s">
        <v>46</v>
      </c>
      <c r="E1694" s="1" t="s">
        <v>7033</v>
      </c>
      <c r="F1694" s="1"/>
      <c r="G1694" s="1" t="s">
        <v>70</v>
      </c>
      <c r="H1694" s="1" t="s">
        <v>93</v>
      </c>
      <c r="I1694" s="1">
        <v>476000.0</v>
      </c>
      <c r="J1694" s="1"/>
      <c r="K1694" s="1"/>
      <c r="L1694" s="1" t="s">
        <v>386</v>
      </c>
      <c r="M1694" s="1" t="s">
        <v>7034</v>
      </c>
      <c r="N1694" s="1" t="s">
        <v>142</v>
      </c>
      <c r="O1694" s="1" t="s">
        <v>143</v>
      </c>
      <c r="P1694" s="2">
        <v>43767.3333333333</v>
      </c>
      <c r="Q1694" s="1" t="s">
        <v>373</v>
      </c>
      <c r="R1694" s="3">
        <v>43767.0</v>
      </c>
      <c r="S1694" s="1"/>
      <c r="T1694" s="1">
        <v>1711902.0</v>
      </c>
      <c r="U1694" s="1" t="s">
        <v>4331</v>
      </c>
      <c r="V1694" s="1" t="s">
        <v>2156</v>
      </c>
      <c r="W1694" s="1" t="s">
        <v>127</v>
      </c>
      <c r="X1694" s="1"/>
      <c r="Y1694" s="1" t="str">
        <f>"02029001451201990"</f>
        <v>02029001451201990</v>
      </c>
      <c r="Z1694" s="1" t="s">
        <v>147</v>
      </c>
      <c r="AA1694" s="1" t="s">
        <v>7035</v>
      </c>
      <c r="AB1694" s="1" t="str">
        <f>"***175018**"</f>
        <v>***175018**</v>
      </c>
      <c r="AC1694" s="1"/>
      <c r="AD1694" s="1"/>
      <c r="AE1694" s="1"/>
      <c r="AF1694" s="1">
        <v>-49.897781</v>
      </c>
      <c r="AG1694" s="1">
        <v>-10.413889</v>
      </c>
      <c r="AH1694" s="1" t="s">
        <v>7036</v>
      </c>
      <c r="AI1694" s="1"/>
      <c r="AJ1694" s="1" t="s">
        <v>386</v>
      </c>
      <c r="AK1694" s="1"/>
      <c r="AL1694" s="1" t="s">
        <v>79</v>
      </c>
      <c r="AM1694" s="1" t="s">
        <v>65</v>
      </c>
      <c r="AN1694" s="1" t="s">
        <v>7037</v>
      </c>
      <c r="AO1694" s="2">
        <v>44056.0</v>
      </c>
      <c r="AP1694" s="2">
        <v>44056.8125925926</v>
      </c>
      <c r="AQ1694" s="1" t="s">
        <v>80</v>
      </c>
      <c r="AR1694" s="1" t="s">
        <v>2065</v>
      </c>
      <c r="AS1694" s="1"/>
      <c r="AT1694" s="2">
        <v>44269.931099537</v>
      </c>
    </row>
    <row r="1695" ht="13.5" customHeight="1">
      <c r="A1695" s="1">
        <v>2040317.0</v>
      </c>
      <c r="B1695" s="1" t="s">
        <v>67</v>
      </c>
      <c r="C1695" s="1" t="s">
        <v>68</v>
      </c>
      <c r="D1695" s="1" t="s">
        <v>46</v>
      </c>
      <c r="E1695" s="1" t="s">
        <v>7038</v>
      </c>
      <c r="F1695" s="1"/>
      <c r="G1695" s="1" t="s">
        <v>70</v>
      </c>
      <c r="H1695" s="1" t="s">
        <v>50</v>
      </c>
      <c r="I1695" s="1">
        <v>1000.0</v>
      </c>
      <c r="J1695" s="1"/>
      <c r="K1695" s="1"/>
      <c r="L1695" s="1" t="s">
        <v>64</v>
      </c>
      <c r="M1695" s="1" t="s">
        <v>6471</v>
      </c>
      <c r="N1695" s="1" t="s">
        <v>72</v>
      </c>
      <c r="O1695" s="1" t="s">
        <v>73</v>
      </c>
      <c r="P1695" s="2">
        <v>43767.3333333333</v>
      </c>
      <c r="Q1695" s="1" t="s">
        <v>74</v>
      </c>
      <c r="R1695" s="3">
        <v>43779.0</v>
      </c>
      <c r="S1695" s="1"/>
      <c r="T1695" s="1">
        <v>3509502.0</v>
      </c>
      <c r="U1695" s="1" t="s">
        <v>97</v>
      </c>
      <c r="V1695" s="1" t="s">
        <v>58</v>
      </c>
      <c r="W1695" s="1" t="s">
        <v>59</v>
      </c>
      <c r="X1695" s="1"/>
      <c r="Y1695" s="1" t="str">
        <f>"02027022669201906"</f>
        <v>02027022669201906</v>
      </c>
      <c r="Z1695" s="1" t="s">
        <v>76</v>
      </c>
      <c r="AA1695" s="1" t="s">
        <v>7039</v>
      </c>
      <c r="AB1695" s="1" t="str">
        <f>"***409103**"</f>
        <v>***409103**</v>
      </c>
      <c r="AC1695" s="1"/>
      <c r="AD1695" s="1"/>
      <c r="AE1695" s="1"/>
      <c r="AF1695" s="1">
        <v>-47.144169</v>
      </c>
      <c r="AG1695" s="1">
        <v>-23.007778</v>
      </c>
      <c r="AH1695" s="1" t="s">
        <v>3543</v>
      </c>
      <c r="AI1695" s="1"/>
      <c r="AJ1695" s="1" t="s">
        <v>64</v>
      </c>
      <c r="AK1695" s="1"/>
      <c r="AL1695" s="1" t="s">
        <v>79</v>
      </c>
      <c r="AM1695" s="1" t="s">
        <v>65</v>
      </c>
      <c r="AN1695" s="1" t="s">
        <v>102</v>
      </c>
      <c r="AO1695" s="2">
        <v>44119.0</v>
      </c>
      <c r="AP1695" s="2">
        <v>44119.8081712963</v>
      </c>
      <c r="AQ1695" s="1" t="s">
        <v>80</v>
      </c>
      <c r="AR1695" s="1" t="s">
        <v>1072</v>
      </c>
      <c r="AS1695" s="1"/>
      <c r="AT1695" s="2">
        <v>44269.931099537</v>
      </c>
    </row>
    <row r="1696" ht="13.5" customHeight="1">
      <c r="A1696" s="1"/>
      <c r="B1696" s="1" t="s">
        <v>46</v>
      </c>
      <c r="C1696" s="1" t="s">
        <v>47</v>
      </c>
      <c r="D1696" s="1"/>
      <c r="E1696" s="1" t="s">
        <v>7040</v>
      </c>
      <c r="F1696" s="1"/>
      <c r="G1696" s="1"/>
      <c r="H1696" s="1" t="s">
        <v>93</v>
      </c>
      <c r="I1696" s="1">
        <v>1420.0</v>
      </c>
      <c r="J1696" s="1"/>
      <c r="K1696" s="1"/>
      <c r="L1696" s="1"/>
      <c r="M1696" s="1" t="s">
        <v>7041</v>
      </c>
      <c r="N1696" s="1" t="s">
        <v>53</v>
      </c>
      <c r="O1696" s="1" t="s">
        <v>54</v>
      </c>
      <c r="P1696" s="2">
        <v>43766.7623148148</v>
      </c>
      <c r="Q1696" s="1" t="s">
        <v>373</v>
      </c>
      <c r="R1696" s="1"/>
      <c r="S1696" s="1"/>
      <c r="T1696" s="1">
        <v>2304400.0</v>
      </c>
      <c r="U1696" s="1" t="s">
        <v>111</v>
      </c>
      <c r="V1696" s="1" t="s">
        <v>112</v>
      </c>
      <c r="W1696" s="1" t="s">
        <v>288</v>
      </c>
      <c r="X1696" s="1"/>
      <c r="Y1696" s="1"/>
      <c r="Z1696" s="1" t="s">
        <v>60</v>
      </c>
      <c r="AA1696" s="1" t="s">
        <v>7042</v>
      </c>
      <c r="AB1696" s="1" t="str">
        <f>"05197384000106"</f>
        <v>05197384000106</v>
      </c>
      <c r="AC1696" s="1"/>
      <c r="AD1696" s="1" t="s">
        <v>62</v>
      </c>
      <c r="AE1696" s="1"/>
      <c r="AF1696" s="1">
        <v>-38.468056</v>
      </c>
      <c r="AG1696" s="1">
        <v>-3.7475</v>
      </c>
      <c r="AH1696" s="1" t="s">
        <v>7043</v>
      </c>
      <c r="AI1696" s="1"/>
      <c r="AJ1696" s="1" t="s">
        <v>172</v>
      </c>
      <c r="AK1696" s="1"/>
      <c r="AL1696" s="1"/>
      <c r="AM1696" s="1" t="s">
        <v>65</v>
      </c>
      <c r="AN1696" s="1" t="s">
        <v>3580</v>
      </c>
      <c r="AO1696" s="1"/>
      <c r="AP1696" s="2">
        <v>43766.7769675926</v>
      </c>
      <c r="AQ1696" s="1"/>
      <c r="AR1696" s="1" t="s">
        <v>7044</v>
      </c>
      <c r="AS1696" s="1"/>
      <c r="AT1696" s="2">
        <v>44269.931099537</v>
      </c>
    </row>
    <row r="1697" ht="13.5" customHeight="1">
      <c r="A1697" s="1"/>
      <c r="B1697" s="1" t="s">
        <v>46</v>
      </c>
      <c r="C1697" s="1" t="s">
        <v>47</v>
      </c>
      <c r="D1697" s="1"/>
      <c r="E1697" s="1" t="s">
        <v>7045</v>
      </c>
      <c r="F1697" s="1"/>
      <c r="G1697" s="1" t="s">
        <v>49</v>
      </c>
      <c r="H1697" s="1" t="s">
        <v>93</v>
      </c>
      <c r="I1697" s="1">
        <v>340000.0</v>
      </c>
      <c r="J1697" s="1"/>
      <c r="K1697" s="1"/>
      <c r="L1697" s="1"/>
      <c r="M1697" s="1" t="s">
        <v>7046</v>
      </c>
      <c r="N1697" s="1" t="s">
        <v>142</v>
      </c>
      <c r="O1697" s="1" t="s">
        <v>143</v>
      </c>
      <c r="P1697" s="2">
        <v>43766.7207175926</v>
      </c>
      <c r="Q1697" s="1" t="s">
        <v>373</v>
      </c>
      <c r="R1697" s="1"/>
      <c r="S1697" s="1"/>
      <c r="T1697" s="1">
        <v>1200302.0</v>
      </c>
      <c r="U1697" s="1" t="s">
        <v>3319</v>
      </c>
      <c r="V1697" s="1" t="s">
        <v>498</v>
      </c>
      <c r="W1697" s="1" t="s">
        <v>177</v>
      </c>
      <c r="X1697" s="1"/>
      <c r="Y1697" s="1"/>
      <c r="Z1697" s="1" t="s">
        <v>147</v>
      </c>
      <c r="AA1697" s="1" t="s">
        <v>7047</v>
      </c>
      <c r="AB1697" s="1" t="str">
        <f>"***923712**"</f>
        <v>***923712**</v>
      </c>
      <c r="AC1697" s="1">
        <v>68.0</v>
      </c>
      <c r="AD1697" s="1" t="s">
        <v>116</v>
      </c>
      <c r="AE1697" s="1"/>
      <c r="AF1697" s="1">
        <v>-70.20916</v>
      </c>
      <c r="AG1697" s="1">
        <v>-8.098888</v>
      </c>
      <c r="AH1697" s="1" t="s">
        <v>7048</v>
      </c>
      <c r="AI1697" s="1"/>
      <c r="AJ1697" s="1" t="s">
        <v>3322</v>
      </c>
      <c r="AK1697" s="1"/>
      <c r="AL1697" s="1"/>
      <c r="AM1697" s="1" t="s">
        <v>65</v>
      </c>
      <c r="AN1697" s="1" t="s">
        <v>3305</v>
      </c>
      <c r="AO1697" s="1"/>
      <c r="AP1697" s="2">
        <v>43957.4534722222</v>
      </c>
      <c r="AQ1697" s="1"/>
      <c r="AR1697" s="1" t="s">
        <v>3478</v>
      </c>
      <c r="AS1697" s="1"/>
      <c r="AT1697" s="2">
        <v>44269.931099537</v>
      </c>
    </row>
    <row r="1698" ht="13.5" customHeight="1">
      <c r="A1698" s="1"/>
      <c r="B1698" s="1" t="s">
        <v>46</v>
      </c>
      <c r="C1698" s="1" t="s">
        <v>47</v>
      </c>
      <c r="D1698" s="1"/>
      <c r="E1698" s="1" t="s">
        <v>7049</v>
      </c>
      <c r="F1698" s="1"/>
      <c r="G1698" s="1" t="s">
        <v>49</v>
      </c>
      <c r="H1698" s="1" t="s">
        <v>93</v>
      </c>
      <c r="I1698" s="1">
        <v>62000.0</v>
      </c>
      <c r="J1698" s="1"/>
      <c r="K1698" s="1"/>
      <c r="L1698" s="1"/>
      <c r="M1698" s="1" t="s">
        <v>7050</v>
      </c>
      <c r="N1698" s="1" t="s">
        <v>142</v>
      </c>
      <c r="O1698" s="1" t="s">
        <v>143</v>
      </c>
      <c r="P1698" s="2">
        <v>43766.6697569444</v>
      </c>
      <c r="Q1698" s="1" t="s">
        <v>373</v>
      </c>
      <c r="R1698" s="1"/>
      <c r="S1698" s="1"/>
      <c r="T1698" s="1">
        <v>1200344.0</v>
      </c>
      <c r="U1698" s="1" t="s">
        <v>5820</v>
      </c>
      <c r="V1698" s="1" t="s">
        <v>498</v>
      </c>
      <c r="W1698" s="1" t="s">
        <v>177</v>
      </c>
      <c r="X1698" s="1"/>
      <c r="Y1698" s="1"/>
      <c r="Z1698" s="1" t="s">
        <v>147</v>
      </c>
      <c r="AA1698" s="1" t="s">
        <v>7051</v>
      </c>
      <c r="AB1698" s="1" t="str">
        <f t="shared" ref="AB1698:AB1699" si="102">"***872922**"</f>
        <v>***872922**</v>
      </c>
      <c r="AC1698" s="1">
        <v>62.0</v>
      </c>
      <c r="AD1698" s="1" t="s">
        <v>116</v>
      </c>
      <c r="AE1698" s="1"/>
      <c r="AF1698" s="1">
        <v>-69.516113</v>
      </c>
      <c r="AG1698" s="1">
        <v>-8.750556</v>
      </c>
      <c r="AH1698" s="1" t="s">
        <v>7052</v>
      </c>
      <c r="AI1698" s="1"/>
      <c r="AJ1698" s="1" t="s">
        <v>3322</v>
      </c>
      <c r="AK1698" s="1"/>
      <c r="AL1698" s="1"/>
      <c r="AM1698" s="1" t="s">
        <v>65</v>
      </c>
      <c r="AN1698" s="1" t="s">
        <v>3305</v>
      </c>
      <c r="AO1698" s="1"/>
      <c r="AP1698" s="2">
        <v>43957.4536226852</v>
      </c>
      <c r="AQ1698" s="1"/>
      <c r="AR1698" s="1" t="s">
        <v>2055</v>
      </c>
      <c r="AS1698" s="1"/>
      <c r="AT1698" s="2">
        <v>44269.931099537</v>
      </c>
    </row>
    <row r="1699" ht="13.5" customHeight="1">
      <c r="A1699" s="1"/>
      <c r="B1699" s="1" t="s">
        <v>46</v>
      </c>
      <c r="C1699" s="1" t="s">
        <v>47</v>
      </c>
      <c r="D1699" s="1"/>
      <c r="E1699" s="1" t="s">
        <v>7053</v>
      </c>
      <c r="F1699" s="1"/>
      <c r="G1699" s="1" t="s">
        <v>49</v>
      </c>
      <c r="H1699" s="1" t="s">
        <v>93</v>
      </c>
      <c r="I1699" s="1">
        <v>490000.0</v>
      </c>
      <c r="J1699" s="1"/>
      <c r="K1699" s="1"/>
      <c r="L1699" s="1"/>
      <c r="M1699" s="1" t="s">
        <v>7054</v>
      </c>
      <c r="N1699" s="1" t="s">
        <v>142</v>
      </c>
      <c r="O1699" s="1" t="s">
        <v>143</v>
      </c>
      <c r="P1699" s="2">
        <v>43766.6342013889</v>
      </c>
      <c r="Q1699" s="1" t="s">
        <v>373</v>
      </c>
      <c r="R1699" s="1"/>
      <c r="S1699" s="1"/>
      <c r="T1699" s="1">
        <v>1200344.0</v>
      </c>
      <c r="U1699" s="1" t="s">
        <v>5820</v>
      </c>
      <c r="V1699" s="1" t="s">
        <v>498</v>
      </c>
      <c r="W1699" s="1" t="s">
        <v>177</v>
      </c>
      <c r="X1699" s="1"/>
      <c r="Y1699" s="1"/>
      <c r="Z1699" s="1" t="s">
        <v>147</v>
      </c>
      <c r="AA1699" s="1" t="s">
        <v>7055</v>
      </c>
      <c r="AB1699" s="1" t="str">
        <f t="shared" si="102"/>
        <v>***872922**</v>
      </c>
      <c r="AC1699" s="1">
        <v>97.0</v>
      </c>
      <c r="AD1699" s="1" t="s">
        <v>116</v>
      </c>
      <c r="AE1699" s="1"/>
      <c r="AF1699" s="1">
        <v>-69.522781</v>
      </c>
      <c r="AG1699" s="1">
        <v>-8.753889</v>
      </c>
      <c r="AH1699" s="1" t="s">
        <v>7056</v>
      </c>
      <c r="AI1699" s="1"/>
      <c r="AJ1699" s="1" t="s">
        <v>3322</v>
      </c>
      <c r="AK1699" s="1"/>
      <c r="AL1699" s="1"/>
      <c r="AM1699" s="1" t="s">
        <v>65</v>
      </c>
      <c r="AN1699" s="1" t="s">
        <v>3305</v>
      </c>
      <c r="AO1699" s="1"/>
      <c r="AP1699" s="2">
        <v>43957.4537384259</v>
      </c>
      <c r="AQ1699" s="1"/>
      <c r="AR1699" s="1" t="s">
        <v>3478</v>
      </c>
      <c r="AS1699" s="1"/>
      <c r="AT1699" s="2">
        <v>44269.931099537</v>
      </c>
    </row>
    <row r="1700" ht="13.5" customHeight="1">
      <c r="A1700" s="1">
        <v>2037203.0</v>
      </c>
      <c r="B1700" s="1" t="s">
        <v>67</v>
      </c>
      <c r="C1700" s="1" t="s">
        <v>68</v>
      </c>
      <c r="D1700" s="1" t="s">
        <v>46</v>
      </c>
      <c r="E1700" s="1" t="s">
        <v>7057</v>
      </c>
      <c r="F1700" s="1"/>
      <c r="G1700" s="1" t="s">
        <v>70</v>
      </c>
      <c r="H1700" s="1" t="s">
        <v>93</v>
      </c>
      <c r="I1700" s="1">
        <v>50000.0</v>
      </c>
      <c r="J1700" s="1"/>
      <c r="K1700" s="1"/>
      <c r="L1700" s="1" t="s">
        <v>415</v>
      </c>
      <c r="M1700" s="1" t="s">
        <v>7058</v>
      </c>
      <c r="N1700" s="1" t="s">
        <v>95</v>
      </c>
      <c r="O1700" s="1" t="s">
        <v>96</v>
      </c>
      <c r="P1700" s="2">
        <v>43766.5833333333</v>
      </c>
      <c r="Q1700" s="1" t="s">
        <v>373</v>
      </c>
      <c r="R1700" s="3">
        <v>43766.0</v>
      </c>
      <c r="S1700" s="1"/>
      <c r="T1700" s="1">
        <v>1400209.0</v>
      </c>
      <c r="U1700" s="1" t="s">
        <v>1162</v>
      </c>
      <c r="V1700" s="1" t="s">
        <v>186</v>
      </c>
      <c r="W1700" s="1" t="s">
        <v>177</v>
      </c>
      <c r="X1700" s="1"/>
      <c r="Y1700" s="1" t="str">
        <f>"02025000271202064"</f>
        <v>02025000271202064</v>
      </c>
      <c r="Z1700" s="1" t="s">
        <v>98</v>
      </c>
      <c r="AA1700" s="1" t="s">
        <v>7059</v>
      </c>
      <c r="AB1700" s="1" t="str">
        <f>"***649652**"</f>
        <v>***649652**</v>
      </c>
      <c r="AC1700" s="1"/>
      <c r="AD1700" s="1"/>
      <c r="AE1700" s="1"/>
      <c r="AF1700" s="1">
        <v>-61.165558</v>
      </c>
      <c r="AG1700" s="1">
        <v>1.706944</v>
      </c>
      <c r="AH1700" s="1" t="s">
        <v>7060</v>
      </c>
      <c r="AI1700" s="1"/>
      <c r="AJ1700" s="1" t="s">
        <v>415</v>
      </c>
      <c r="AK1700" s="1"/>
      <c r="AL1700" s="1" t="s">
        <v>79</v>
      </c>
      <c r="AM1700" s="1" t="s">
        <v>65</v>
      </c>
      <c r="AN1700" s="1" t="s">
        <v>5811</v>
      </c>
      <c r="AO1700" s="2">
        <v>43987.0</v>
      </c>
      <c r="AP1700" s="2">
        <v>43987.4639814815</v>
      </c>
      <c r="AQ1700" s="1" t="s">
        <v>80</v>
      </c>
      <c r="AR1700" s="1" t="s">
        <v>7061</v>
      </c>
      <c r="AS1700" s="1"/>
      <c r="AT1700" s="2">
        <v>44269.931099537</v>
      </c>
    </row>
    <row r="1701" ht="13.5" customHeight="1">
      <c r="A1701" s="1"/>
      <c r="B1701" s="1" t="s">
        <v>46</v>
      </c>
      <c r="C1701" s="1" t="s">
        <v>47</v>
      </c>
      <c r="D1701" s="1"/>
      <c r="E1701" s="1" t="s">
        <v>7062</v>
      </c>
      <c r="F1701" s="1"/>
      <c r="G1701" s="1" t="s">
        <v>5034</v>
      </c>
      <c r="H1701" s="1" t="s">
        <v>50</v>
      </c>
      <c r="I1701" s="1">
        <v>50.0</v>
      </c>
      <c r="J1701" s="1"/>
      <c r="K1701" s="1" t="s">
        <v>51</v>
      </c>
      <c r="L1701" s="1"/>
      <c r="M1701" s="1" t="s">
        <v>7063</v>
      </c>
      <c r="N1701" s="1" t="s">
        <v>977</v>
      </c>
      <c r="O1701" s="1" t="s">
        <v>978</v>
      </c>
      <c r="P1701" s="2">
        <v>43766.5482986111</v>
      </c>
      <c r="Q1701" s="1" t="s">
        <v>74</v>
      </c>
      <c r="R1701" s="3">
        <v>43809.0</v>
      </c>
      <c r="S1701" s="1"/>
      <c r="T1701" s="1">
        <v>3509502.0</v>
      </c>
      <c r="U1701" s="1" t="s">
        <v>97</v>
      </c>
      <c r="V1701" s="1" t="s">
        <v>58</v>
      </c>
      <c r="W1701" s="1" t="s">
        <v>59</v>
      </c>
      <c r="X1701" s="1"/>
      <c r="Y1701" s="1"/>
      <c r="Z1701" s="1" t="s">
        <v>980</v>
      </c>
      <c r="AA1701" s="1" t="s">
        <v>7064</v>
      </c>
      <c r="AB1701" s="1" t="str">
        <f>"***782695**"</f>
        <v>***782695**</v>
      </c>
      <c r="AC1701" s="1"/>
      <c r="AD1701" s="1" t="s">
        <v>149</v>
      </c>
      <c r="AE1701" s="1"/>
      <c r="AF1701" s="1">
        <v>-47.144169</v>
      </c>
      <c r="AG1701" s="1">
        <v>-23.007778</v>
      </c>
      <c r="AH1701" s="1" t="s">
        <v>3543</v>
      </c>
      <c r="AI1701" s="1"/>
      <c r="AJ1701" s="1" t="s">
        <v>64</v>
      </c>
      <c r="AK1701" s="1"/>
      <c r="AL1701" s="1"/>
      <c r="AM1701" s="1" t="s">
        <v>65</v>
      </c>
      <c r="AN1701" s="1" t="s">
        <v>102</v>
      </c>
      <c r="AO1701" s="1"/>
      <c r="AP1701" s="2">
        <v>44183.7996643519</v>
      </c>
      <c r="AQ1701" s="1"/>
      <c r="AR1701" s="1" t="s">
        <v>6546</v>
      </c>
      <c r="AS1701" s="1"/>
      <c r="AT1701" s="2">
        <v>44269.931099537</v>
      </c>
    </row>
    <row r="1702" ht="13.5" customHeight="1">
      <c r="A1702" s="1">
        <v>2036223.0</v>
      </c>
      <c r="B1702" s="1" t="s">
        <v>67</v>
      </c>
      <c r="C1702" s="1" t="s">
        <v>68</v>
      </c>
      <c r="D1702" s="1" t="s">
        <v>46</v>
      </c>
      <c r="E1702" s="1" t="s">
        <v>7065</v>
      </c>
      <c r="F1702" s="1"/>
      <c r="G1702" s="1" t="s">
        <v>70</v>
      </c>
      <c r="H1702" s="1" t="s">
        <v>50</v>
      </c>
      <c r="I1702" s="1">
        <v>500.0</v>
      </c>
      <c r="J1702" s="1"/>
      <c r="K1702" s="1"/>
      <c r="L1702" s="1" t="s">
        <v>64</v>
      </c>
      <c r="M1702" s="1" t="s">
        <v>7066</v>
      </c>
      <c r="N1702" s="1" t="s">
        <v>283</v>
      </c>
      <c r="O1702" s="1" t="s">
        <v>978</v>
      </c>
      <c r="P1702" s="2">
        <v>43766.5416666667</v>
      </c>
      <c r="Q1702" s="1" t="s">
        <v>74</v>
      </c>
      <c r="R1702" s="3">
        <v>43766.0</v>
      </c>
      <c r="S1702" s="1"/>
      <c r="T1702" s="1">
        <v>3509502.0</v>
      </c>
      <c r="U1702" s="1" t="s">
        <v>97</v>
      </c>
      <c r="V1702" s="1" t="s">
        <v>58</v>
      </c>
      <c r="W1702" s="1" t="s">
        <v>59</v>
      </c>
      <c r="X1702" s="1"/>
      <c r="Y1702" s="1" t="str">
        <f>"02027004131202045"</f>
        <v>02027004131202045</v>
      </c>
      <c r="Z1702" s="1" t="s">
        <v>980</v>
      </c>
      <c r="AA1702" s="1" t="s">
        <v>7067</v>
      </c>
      <c r="AB1702" s="1" t="str">
        <f>"56998438000670"</f>
        <v>56998438000670</v>
      </c>
      <c r="AC1702" s="1"/>
      <c r="AD1702" s="1"/>
      <c r="AE1702" s="1"/>
      <c r="AF1702" s="1">
        <v>-47.144169</v>
      </c>
      <c r="AG1702" s="1">
        <v>-23.007778</v>
      </c>
      <c r="AH1702" s="1" t="s">
        <v>3528</v>
      </c>
      <c r="AI1702" s="1"/>
      <c r="AJ1702" s="1" t="s">
        <v>64</v>
      </c>
      <c r="AK1702" s="1"/>
      <c r="AL1702" s="1" t="s">
        <v>79</v>
      </c>
      <c r="AM1702" s="1" t="s">
        <v>65</v>
      </c>
      <c r="AN1702" s="1" t="s">
        <v>102</v>
      </c>
      <c r="AO1702" s="2">
        <v>43941.0</v>
      </c>
      <c r="AP1702" s="2">
        <v>43941.4764583333</v>
      </c>
      <c r="AQ1702" s="1" t="s">
        <v>80</v>
      </c>
      <c r="AR1702" s="1" t="s">
        <v>6447</v>
      </c>
      <c r="AS1702" s="1"/>
      <c r="AT1702" s="2">
        <v>44269.931099537</v>
      </c>
    </row>
    <row r="1703" ht="13.5" customHeight="1">
      <c r="A1703" s="1"/>
      <c r="B1703" s="1" t="s">
        <v>46</v>
      </c>
      <c r="C1703" s="1" t="s">
        <v>47</v>
      </c>
      <c r="D1703" s="1"/>
      <c r="E1703" s="1" t="s">
        <v>7068</v>
      </c>
      <c r="F1703" s="1"/>
      <c r="G1703" s="1" t="s">
        <v>49</v>
      </c>
      <c r="H1703" s="1" t="s">
        <v>50</v>
      </c>
      <c r="I1703" s="1">
        <v>1000.0</v>
      </c>
      <c r="J1703" s="1"/>
      <c r="K1703" s="1" t="s">
        <v>51</v>
      </c>
      <c r="L1703" s="1"/>
      <c r="M1703" s="1" t="s">
        <v>7069</v>
      </c>
      <c r="N1703" s="1" t="s">
        <v>123</v>
      </c>
      <c r="O1703" s="1" t="s">
        <v>73</v>
      </c>
      <c r="P1703" s="2">
        <v>43766.5316550926</v>
      </c>
      <c r="Q1703" s="1" t="s">
        <v>74</v>
      </c>
      <c r="R1703" s="3">
        <v>43809.0</v>
      </c>
      <c r="S1703" s="1"/>
      <c r="T1703" s="1">
        <v>3509502.0</v>
      </c>
      <c r="U1703" s="1" t="s">
        <v>97</v>
      </c>
      <c r="V1703" s="1" t="s">
        <v>58</v>
      </c>
      <c r="W1703" s="1" t="s">
        <v>59</v>
      </c>
      <c r="X1703" s="1"/>
      <c r="Y1703" s="1"/>
      <c r="Z1703" s="1" t="s">
        <v>76</v>
      </c>
      <c r="AA1703" s="1" t="s">
        <v>7064</v>
      </c>
      <c r="AB1703" s="1" t="str">
        <f>"***782695**"</f>
        <v>***782695**</v>
      </c>
      <c r="AC1703" s="1"/>
      <c r="AD1703" s="1" t="s">
        <v>62</v>
      </c>
      <c r="AE1703" s="1"/>
      <c r="AF1703" s="1">
        <v>-47.144169</v>
      </c>
      <c r="AG1703" s="1">
        <v>-23.007778</v>
      </c>
      <c r="AH1703" s="1" t="s">
        <v>3543</v>
      </c>
      <c r="AI1703" s="1"/>
      <c r="AJ1703" s="1" t="s">
        <v>64</v>
      </c>
      <c r="AK1703" s="1"/>
      <c r="AL1703" s="1"/>
      <c r="AM1703" s="1" t="s">
        <v>65</v>
      </c>
      <c r="AN1703" s="1" t="s">
        <v>102</v>
      </c>
      <c r="AO1703" s="1"/>
      <c r="AP1703" s="2">
        <v>44183.7997569444</v>
      </c>
      <c r="AQ1703" s="1"/>
      <c r="AR1703" s="1" t="s">
        <v>494</v>
      </c>
      <c r="AS1703" s="1"/>
      <c r="AT1703" s="2">
        <v>44269.931099537</v>
      </c>
    </row>
    <row r="1704" ht="13.5" customHeight="1">
      <c r="A1704" s="1"/>
      <c r="B1704" s="1" t="s">
        <v>46</v>
      </c>
      <c r="C1704" s="1" t="s">
        <v>47</v>
      </c>
      <c r="D1704" s="1"/>
      <c r="E1704" s="1" t="s">
        <v>7070</v>
      </c>
      <c r="F1704" s="1"/>
      <c r="G1704" s="1" t="s">
        <v>49</v>
      </c>
      <c r="H1704" s="1" t="s">
        <v>93</v>
      </c>
      <c r="I1704" s="1">
        <v>59000.0</v>
      </c>
      <c r="J1704" s="1"/>
      <c r="K1704" s="1"/>
      <c r="L1704" s="1"/>
      <c r="M1704" s="1" t="s">
        <v>7071</v>
      </c>
      <c r="N1704" s="1" t="s">
        <v>142</v>
      </c>
      <c r="O1704" s="1" t="s">
        <v>143</v>
      </c>
      <c r="P1704" s="2">
        <v>43766.5122337963</v>
      </c>
      <c r="Q1704" s="1" t="s">
        <v>373</v>
      </c>
      <c r="R1704" s="1"/>
      <c r="S1704" s="1"/>
      <c r="T1704" s="1">
        <v>2105989.0</v>
      </c>
      <c r="U1704" s="1" t="s">
        <v>7026</v>
      </c>
      <c r="V1704" s="1" t="s">
        <v>540</v>
      </c>
      <c r="W1704" s="1" t="s">
        <v>127</v>
      </c>
      <c r="X1704" s="1"/>
      <c r="Y1704" s="1"/>
      <c r="Z1704" s="1" t="s">
        <v>147</v>
      </c>
      <c r="AA1704" s="1" t="s">
        <v>7072</v>
      </c>
      <c r="AB1704" s="1" t="str">
        <f>"***145503**"</f>
        <v>***145503**</v>
      </c>
      <c r="AC1704" s="1"/>
      <c r="AD1704" s="1" t="s">
        <v>116</v>
      </c>
      <c r="AE1704" s="1"/>
      <c r="AF1704" s="1">
        <v>-46.795834</v>
      </c>
      <c r="AG1704" s="1">
        <v>-6.125</v>
      </c>
      <c r="AH1704" s="1" t="s">
        <v>7073</v>
      </c>
      <c r="AI1704" s="1"/>
      <c r="AJ1704" s="1" t="s">
        <v>537</v>
      </c>
      <c r="AK1704" s="1"/>
      <c r="AL1704" s="1"/>
      <c r="AM1704" s="1" t="s">
        <v>65</v>
      </c>
      <c r="AN1704" s="1" t="s">
        <v>4203</v>
      </c>
      <c r="AO1704" s="1"/>
      <c r="AP1704" s="2">
        <v>44065.7743865741</v>
      </c>
      <c r="AQ1704" s="1"/>
      <c r="AR1704" s="1" t="s">
        <v>2055</v>
      </c>
      <c r="AS1704" s="1"/>
      <c r="AT1704" s="2">
        <v>44269.931099537</v>
      </c>
    </row>
    <row r="1705" ht="13.5" customHeight="1">
      <c r="A1705" s="1">
        <v>2035597.0</v>
      </c>
      <c r="B1705" s="1" t="s">
        <v>67</v>
      </c>
      <c r="C1705" s="1" t="s">
        <v>68</v>
      </c>
      <c r="D1705" s="1" t="s">
        <v>46</v>
      </c>
      <c r="E1705" s="1" t="s">
        <v>7074</v>
      </c>
      <c r="F1705" s="1"/>
      <c r="G1705" s="1" t="s">
        <v>70</v>
      </c>
      <c r="H1705" s="1" t="s">
        <v>93</v>
      </c>
      <c r="I1705" s="1">
        <v>90000.0</v>
      </c>
      <c r="J1705" s="1"/>
      <c r="K1705" s="1"/>
      <c r="L1705" s="1" t="s">
        <v>3322</v>
      </c>
      <c r="M1705" s="1" t="s">
        <v>7075</v>
      </c>
      <c r="N1705" s="1" t="s">
        <v>142</v>
      </c>
      <c r="O1705" s="1" t="s">
        <v>143</v>
      </c>
      <c r="P1705" s="2">
        <v>43766.5</v>
      </c>
      <c r="Q1705" s="1" t="s">
        <v>373</v>
      </c>
      <c r="R1705" s="3">
        <v>43766.0</v>
      </c>
      <c r="S1705" s="1"/>
      <c r="T1705" s="1">
        <v>1200302.0</v>
      </c>
      <c r="U1705" s="1" t="s">
        <v>3319</v>
      </c>
      <c r="V1705" s="1" t="s">
        <v>498</v>
      </c>
      <c r="W1705" s="1" t="s">
        <v>177</v>
      </c>
      <c r="X1705" s="1"/>
      <c r="Y1705" s="1" t="str">
        <f>"02002000095202029"</f>
        <v>02002000095202029</v>
      </c>
      <c r="Z1705" s="1" t="s">
        <v>147</v>
      </c>
      <c r="AA1705" s="1" t="s">
        <v>7076</v>
      </c>
      <c r="AB1705" s="1" t="str">
        <f>"***282932**"</f>
        <v>***282932**</v>
      </c>
      <c r="AC1705" s="1"/>
      <c r="AD1705" s="1"/>
      <c r="AE1705" s="1"/>
      <c r="AF1705" s="1">
        <v>-70.389442</v>
      </c>
      <c r="AG1705" s="1">
        <v>-8.286389</v>
      </c>
      <c r="AH1705" s="1" t="s">
        <v>7077</v>
      </c>
      <c r="AI1705" s="1"/>
      <c r="AJ1705" s="1" t="s">
        <v>3322</v>
      </c>
      <c r="AK1705" s="1"/>
      <c r="AL1705" s="1" t="s">
        <v>79</v>
      </c>
      <c r="AM1705" s="1" t="s">
        <v>65</v>
      </c>
      <c r="AN1705" s="1" t="s">
        <v>3305</v>
      </c>
      <c r="AO1705" s="2">
        <v>43909.0</v>
      </c>
      <c r="AP1705" s="2">
        <v>43909.6120717593</v>
      </c>
      <c r="AQ1705" s="1" t="s">
        <v>80</v>
      </c>
      <c r="AR1705" s="1" t="s">
        <v>451</v>
      </c>
      <c r="AS1705" s="1"/>
      <c r="AT1705" s="2">
        <v>44269.931099537</v>
      </c>
    </row>
    <row r="1706" ht="13.5" customHeight="1">
      <c r="A1706" s="1">
        <v>2040054.0</v>
      </c>
      <c r="B1706" s="1" t="s">
        <v>67</v>
      </c>
      <c r="C1706" s="1" t="s">
        <v>68</v>
      </c>
      <c r="D1706" s="1" t="s">
        <v>46</v>
      </c>
      <c r="E1706" s="1" t="s">
        <v>7078</v>
      </c>
      <c r="F1706" s="1"/>
      <c r="G1706" s="1" t="s">
        <v>70</v>
      </c>
      <c r="H1706" s="1" t="s">
        <v>93</v>
      </c>
      <c r="I1706" s="1">
        <v>50.0</v>
      </c>
      <c r="J1706" s="1"/>
      <c r="K1706" s="1"/>
      <c r="L1706" s="1" t="s">
        <v>64</v>
      </c>
      <c r="M1706" s="1" t="s">
        <v>7079</v>
      </c>
      <c r="N1706" s="1" t="s">
        <v>283</v>
      </c>
      <c r="O1706" s="1" t="s">
        <v>978</v>
      </c>
      <c r="P1706" s="2">
        <v>43766.4583333333</v>
      </c>
      <c r="Q1706" s="1" t="s">
        <v>74</v>
      </c>
      <c r="R1706" s="3">
        <v>43779.0</v>
      </c>
      <c r="S1706" s="1"/>
      <c r="T1706" s="1">
        <v>3509502.0</v>
      </c>
      <c r="U1706" s="1" t="s">
        <v>97</v>
      </c>
      <c r="V1706" s="1" t="s">
        <v>58</v>
      </c>
      <c r="W1706" s="1" t="s">
        <v>59</v>
      </c>
      <c r="X1706" s="1"/>
      <c r="Y1706" s="1" t="str">
        <f>"02027022667201917"</f>
        <v>02027022667201917</v>
      </c>
      <c r="Z1706" s="1" t="s">
        <v>980</v>
      </c>
      <c r="AA1706" s="1" t="s">
        <v>7039</v>
      </c>
      <c r="AB1706" s="1" t="str">
        <f>"***409103**"</f>
        <v>***409103**</v>
      </c>
      <c r="AC1706" s="1"/>
      <c r="AD1706" s="1"/>
      <c r="AE1706" s="1"/>
      <c r="AF1706" s="1">
        <v>-47.144169</v>
      </c>
      <c r="AG1706" s="1">
        <v>-23.007778</v>
      </c>
      <c r="AH1706" s="1" t="s">
        <v>7080</v>
      </c>
      <c r="AI1706" s="1"/>
      <c r="AJ1706" s="1" t="s">
        <v>64</v>
      </c>
      <c r="AK1706" s="1"/>
      <c r="AL1706" s="1" t="s">
        <v>79</v>
      </c>
      <c r="AM1706" s="1" t="s">
        <v>65</v>
      </c>
      <c r="AN1706" s="1" t="s">
        <v>102</v>
      </c>
      <c r="AO1706" s="2">
        <v>44085.0</v>
      </c>
      <c r="AP1706" s="2">
        <v>44085.4261458333</v>
      </c>
      <c r="AQ1706" s="1" t="s">
        <v>80</v>
      </c>
      <c r="AR1706" s="1" t="s">
        <v>4343</v>
      </c>
      <c r="AS1706" s="1"/>
      <c r="AT1706" s="2">
        <v>44269.931099537</v>
      </c>
    </row>
    <row r="1707" ht="13.5" customHeight="1">
      <c r="A1707" s="1"/>
      <c r="B1707" s="1" t="s">
        <v>46</v>
      </c>
      <c r="C1707" s="1" t="s">
        <v>47</v>
      </c>
      <c r="D1707" s="1"/>
      <c r="E1707" s="1" t="s">
        <v>7081</v>
      </c>
      <c r="F1707" s="1"/>
      <c r="G1707" s="1" t="s">
        <v>49</v>
      </c>
      <c r="H1707" s="1" t="s">
        <v>93</v>
      </c>
      <c r="I1707" s="1">
        <v>65000.0</v>
      </c>
      <c r="J1707" s="1"/>
      <c r="K1707" s="1"/>
      <c r="L1707" s="1"/>
      <c r="M1707" s="1" t="s">
        <v>7082</v>
      </c>
      <c r="N1707" s="1" t="s">
        <v>142</v>
      </c>
      <c r="O1707" s="1" t="s">
        <v>143</v>
      </c>
      <c r="P1707" s="2">
        <v>43766.4543402778</v>
      </c>
      <c r="Q1707" s="1" t="s">
        <v>373</v>
      </c>
      <c r="R1707" s="1"/>
      <c r="S1707" s="1"/>
      <c r="T1707" s="1">
        <v>1200344.0</v>
      </c>
      <c r="U1707" s="1" t="s">
        <v>5820</v>
      </c>
      <c r="V1707" s="1" t="s">
        <v>498</v>
      </c>
      <c r="W1707" s="1" t="s">
        <v>177</v>
      </c>
      <c r="X1707" s="1"/>
      <c r="Y1707" s="1"/>
      <c r="Z1707" s="1" t="s">
        <v>147</v>
      </c>
      <c r="AA1707" s="1" t="s">
        <v>7083</v>
      </c>
      <c r="AB1707" s="1" t="str">
        <f>"***755282**"</f>
        <v>***755282**</v>
      </c>
      <c r="AC1707" s="1">
        <v>12.0</v>
      </c>
      <c r="AD1707" s="1" t="s">
        <v>116</v>
      </c>
      <c r="AE1707" s="1"/>
      <c r="AF1707" s="1">
        <v>-69.468056</v>
      </c>
      <c r="AG1707" s="1">
        <v>-8.762222</v>
      </c>
      <c r="AH1707" s="1" t="s">
        <v>7084</v>
      </c>
      <c r="AI1707" s="1"/>
      <c r="AJ1707" s="1" t="s">
        <v>3322</v>
      </c>
      <c r="AK1707" s="1"/>
      <c r="AL1707" s="1"/>
      <c r="AM1707" s="1" t="s">
        <v>65</v>
      </c>
      <c r="AN1707" s="1" t="s">
        <v>3305</v>
      </c>
      <c r="AO1707" s="1"/>
      <c r="AP1707" s="2">
        <v>43957.4539583333</v>
      </c>
      <c r="AQ1707" s="1"/>
      <c r="AR1707" s="1" t="s">
        <v>3478</v>
      </c>
      <c r="AS1707" s="1"/>
      <c r="AT1707" s="2">
        <v>44269.931099537</v>
      </c>
    </row>
    <row r="1708" ht="13.5" customHeight="1">
      <c r="A1708" s="1">
        <v>2041842.0</v>
      </c>
      <c r="B1708" s="1" t="s">
        <v>67</v>
      </c>
      <c r="C1708" s="1" t="s">
        <v>68</v>
      </c>
      <c r="D1708" s="1" t="s">
        <v>46</v>
      </c>
      <c r="E1708" s="1" t="s">
        <v>7085</v>
      </c>
      <c r="F1708" s="1"/>
      <c r="G1708" s="1" t="s">
        <v>70</v>
      </c>
      <c r="H1708" s="1" t="s">
        <v>93</v>
      </c>
      <c r="I1708" s="1">
        <v>60000.0</v>
      </c>
      <c r="J1708" s="1"/>
      <c r="K1708" s="1"/>
      <c r="L1708" s="1" t="s">
        <v>415</v>
      </c>
      <c r="M1708" s="1" t="s">
        <v>7086</v>
      </c>
      <c r="N1708" s="1" t="s">
        <v>95</v>
      </c>
      <c r="O1708" s="1" t="s">
        <v>96</v>
      </c>
      <c r="P1708" s="2">
        <v>43766.375</v>
      </c>
      <c r="Q1708" s="1" t="s">
        <v>373</v>
      </c>
      <c r="R1708" s="3">
        <v>43766.0</v>
      </c>
      <c r="S1708" s="1"/>
      <c r="T1708" s="1">
        <v>1400209.0</v>
      </c>
      <c r="U1708" s="1" t="s">
        <v>1162</v>
      </c>
      <c r="V1708" s="1" t="s">
        <v>186</v>
      </c>
      <c r="W1708" s="1" t="s">
        <v>177</v>
      </c>
      <c r="X1708" s="1"/>
      <c r="Y1708" s="1" t="str">
        <f>"02025000272202017"</f>
        <v>02025000272202017</v>
      </c>
      <c r="Z1708" s="1" t="s">
        <v>98</v>
      </c>
      <c r="AA1708" s="1" t="s">
        <v>7087</v>
      </c>
      <c r="AB1708" s="1" t="str">
        <f>"***085432**"</f>
        <v>***085432**</v>
      </c>
      <c r="AC1708" s="1"/>
      <c r="AD1708" s="1"/>
      <c r="AE1708" s="1"/>
      <c r="AF1708" s="1">
        <v>-61.165558</v>
      </c>
      <c r="AG1708" s="1">
        <v>1.706944</v>
      </c>
      <c r="AH1708" s="1" t="s">
        <v>7088</v>
      </c>
      <c r="AI1708" s="1"/>
      <c r="AJ1708" s="1" t="s">
        <v>415</v>
      </c>
      <c r="AK1708" s="1"/>
      <c r="AL1708" s="1" t="s">
        <v>79</v>
      </c>
      <c r="AM1708" s="1" t="s">
        <v>65</v>
      </c>
      <c r="AN1708" s="1" t="s">
        <v>5811</v>
      </c>
      <c r="AO1708" s="2">
        <v>44176.0</v>
      </c>
      <c r="AP1708" s="2">
        <v>44176.6682638889</v>
      </c>
      <c r="AQ1708" s="1" t="s">
        <v>80</v>
      </c>
      <c r="AR1708" s="1" t="s">
        <v>7089</v>
      </c>
      <c r="AS1708" s="1" t="s">
        <v>7090</v>
      </c>
      <c r="AT1708" s="2">
        <v>44269.931099537</v>
      </c>
    </row>
    <row r="1709" ht="13.5" customHeight="1">
      <c r="A1709" s="1">
        <v>2044034.0</v>
      </c>
      <c r="B1709" s="1" t="s">
        <v>67</v>
      </c>
      <c r="C1709" s="1" t="s">
        <v>68</v>
      </c>
      <c r="D1709" s="1" t="s">
        <v>46</v>
      </c>
      <c r="E1709" s="1" t="s">
        <v>7091</v>
      </c>
      <c r="F1709" s="1"/>
      <c r="G1709" s="1" t="s">
        <v>70</v>
      </c>
      <c r="H1709" s="1" t="s">
        <v>93</v>
      </c>
      <c r="I1709" s="1">
        <v>907500.0</v>
      </c>
      <c r="J1709" s="1"/>
      <c r="K1709" s="1"/>
      <c r="L1709" s="1" t="s">
        <v>65</v>
      </c>
      <c r="M1709" s="1" t="s">
        <v>7092</v>
      </c>
      <c r="N1709" s="1" t="s">
        <v>142</v>
      </c>
      <c r="O1709" s="1" t="s">
        <v>143</v>
      </c>
      <c r="P1709" s="2">
        <v>43765.4166666667</v>
      </c>
      <c r="Q1709" s="1" t="s">
        <v>74</v>
      </c>
      <c r="R1709" s="1"/>
      <c r="S1709" s="1" t="s">
        <v>7093</v>
      </c>
      <c r="T1709" s="1">
        <v>5106158.0</v>
      </c>
      <c r="U1709" s="1" t="s">
        <v>1700</v>
      </c>
      <c r="V1709" s="1" t="s">
        <v>164</v>
      </c>
      <c r="W1709" s="1" t="s">
        <v>177</v>
      </c>
      <c r="X1709" s="1"/>
      <c r="Y1709" s="1" t="str">
        <f>"02052000205201923"</f>
        <v>02052000205201923</v>
      </c>
      <c r="Z1709" s="1" t="s">
        <v>147</v>
      </c>
      <c r="AA1709" s="1" t="s">
        <v>7094</v>
      </c>
      <c r="AB1709" s="1" t="str">
        <f>"***606931**"</f>
        <v>***606931**</v>
      </c>
      <c r="AC1709" s="1"/>
      <c r="AD1709" s="1" t="s">
        <v>116</v>
      </c>
      <c r="AE1709" s="1"/>
      <c r="AF1709" s="1">
        <v>-57.881667</v>
      </c>
      <c r="AG1709" s="1">
        <v>-9.573611</v>
      </c>
      <c r="AH1709" s="1" t="s">
        <v>7095</v>
      </c>
      <c r="AI1709" s="1"/>
      <c r="AJ1709" s="1" t="s">
        <v>172</v>
      </c>
      <c r="AK1709" s="1" t="s">
        <v>6258</v>
      </c>
      <c r="AL1709" s="1" t="s">
        <v>79</v>
      </c>
      <c r="AM1709" s="1" t="s">
        <v>65</v>
      </c>
      <c r="AN1709" s="1" t="s">
        <v>6258</v>
      </c>
      <c r="AO1709" s="2">
        <v>44259.0</v>
      </c>
      <c r="AP1709" s="2">
        <v>44259.6536226852</v>
      </c>
      <c r="AQ1709" s="1" t="s">
        <v>80</v>
      </c>
      <c r="AR1709" s="1" t="s">
        <v>7096</v>
      </c>
      <c r="AS1709" s="1"/>
      <c r="AT1709" s="2">
        <v>44269.931099537</v>
      </c>
    </row>
    <row r="1710" ht="13.5" customHeight="1">
      <c r="A1710" s="1">
        <v>2035163.0</v>
      </c>
      <c r="B1710" s="1" t="s">
        <v>67</v>
      </c>
      <c r="C1710" s="1" t="s">
        <v>68</v>
      </c>
      <c r="D1710" s="1" t="s">
        <v>46</v>
      </c>
      <c r="E1710" s="1" t="s">
        <v>7097</v>
      </c>
      <c r="F1710" s="1"/>
      <c r="G1710" s="1" t="s">
        <v>70</v>
      </c>
      <c r="H1710" s="1" t="s">
        <v>93</v>
      </c>
      <c r="I1710" s="1">
        <v>56650.0</v>
      </c>
      <c r="J1710" s="1"/>
      <c r="K1710" s="1"/>
      <c r="L1710" s="1" t="s">
        <v>537</v>
      </c>
      <c r="M1710" s="1" t="s">
        <v>7098</v>
      </c>
      <c r="N1710" s="1" t="s">
        <v>142</v>
      </c>
      <c r="O1710" s="1" t="s">
        <v>143</v>
      </c>
      <c r="P1710" s="2">
        <v>43764.7916666667</v>
      </c>
      <c r="Q1710" s="1" t="s">
        <v>55</v>
      </c>
      <c r="R1710" s="3">
        <v>43764.0</v>
      </c>
      <c r="S1710" s="1"/>
      <c r="T1710" s="1">
        <v>2111805.0</v>
      </c>
      <c r="U1710" s="1" t="s">
        <v>4763</v>
      </c>
      <c r="V1710" s="1" t="s">
        <v>540</v>
      </c>
      <c r="W1710" s="1" t="s">
        <v>127</v>
      </c>
      <c r="X1710" s="1"/>
      <c r="Y1710" s="1" t="str">
        <f>"02012000580202083"</f>
        <v>02012000580202083</v>
      </c>
      <c r="Z1710" s="1" t="s">
        <v>147</v>
      </c>
      <c r="AA1710" s="1" t="s">
        <v>7099</v>
      </c>
      <c r="AB1710" s="1" t="str">
        <f>"***944603**"</f>
        <v>***944603**</v>
      </c>
      <c r="AC1710" s="1"/>
      <c r="AD1710" s="1"/>
      <c r="AE1710" s="1"/>
      <c r="AF1710" s="1">
        <v>-46.616943</v>
      </c>
      <c r="AG1710" s="1">
        <v>-6.023612</v>
      </c>
      <c r="AH1710" s="1" t="s">
        <v>7100</v>
      </c>
      <c r="AI1710" s="1"/>
      <c r="AJ1710" s="1" t="s">
        <v>537</v>
      </c>
      <c r="AK1710" s="1"/>
      <c r="AL1710" s="1" t="s">
        <v>79</v>
      </c>
      <c r="AM1710" s="1" t="s">
        <v>65</v>
      </c>
      <c r="AN1710" s="1" t="s">
        <v>4203</v>
      </c>
      <c r="AO1710" s="2">
        <v>43896.0</v>
      </c>
      <c r="AP1710" s="2">
        <v>43896.4266203704</v>
      </c>
      <c r="AQ1710" s="1" t="s">
        <v>80</v>
      </c>
      <c r="AR1710" s="1" t="s">
        <v>2065</v>
      </c>
      <c r="AS1710" s="1"/>
      <c r="AT1710" s="2">
        <v>44269.931099537</v>
      </c>
    </row>
    <row r="1711" ht="13.5" customHeight="1">
      <c r="A1711" s="1"/>
      <c r="B1711" s="1" t="s">
        <v>46</v>
      </c>
      <c r="C1711" s="1" t="s">
        <v>47</v>
      </c>
      <c r="D1711" s="1"/>
      <c r="E1711" s="1" t="s">
        <v>7101</v>
      </c>
      <c r="F1711" s="1"/>
      <c r="G1711" s="1" t="s">
        <v>49</v>
      </c>
      <c r="H1711" s="1" t="s">
        <v>50</v>
      </c>
      <c r="I1711" s="1">
        <v>700.0</v>
      </c>
      <c r="J1711" s="1"/>
      <c r="K1711" s="1" t="s">
        <v>51</v>
      </c>
      <c r="L1711" s="1"/>
      <c r="M1711" s="1" t="s">
        <v>7102</v>
      </c>
      <c r="N1711" s="1" t="s">
        <v>53</v>
      </c>
      <c r="O1711" s="1" t="s">
        <v>54</v>
      </c>
      <c r="P1711" s="2">
        <v>43764.5249074074</v>
      </c>
      <c r="Q1711" s="1" t="s">
        <v>373</v>
      </c>
      <c r="R1711" s="1"/>
      <c r="S1711" s="1"/>
      <c r="T1711" s="1">
        <v>5103106.0</v>
      </c>
      <c r="U1711" s="1" t="s">
        <v>5471</v>
      </c>
      <c r="V1711" s="1" t="s">
        <v>164</v>
      </c>
      <c r="W1711" s="1" t="s">
        <v>177</v>
      </c>
      <c r="X1711" s="1"/>
      <c r="Y1711" s="1"/>
      <c r="Z1711" s="1" t="s">
        <v>60</v>
      </c>
      <c r="AA1711" s="1" t="s">
        <v>7103</v>
      </c>
      <c r="AB1711" s="1" t="str">
        <f>"***858371**"</f>
        <v>***858371**</v>
      </c>
      <c r="AC1711" s="1"/>
      <c r="AD1711" s="1"/>
      <c r="AE1711" s="1"/>
      <c r="AF1711" s="1">
        <v>-50.872498</v>
      </c>
      <c r="AG1711" s="1">
        <v>-13.739167</v>
      </c>
      <c r="AH1711" s="1" t="s">
        <v>7104</v>
      </c>
      <c r="AI1711" s="1"/>
      <c r="AJ1711" s="1" t="s">
        <v>371</v>
      </c>
      <c r="AK1711" s="1"/>
      <c r="AL1711" s="1"/>
      <c r="AM1711" s="1" t="s">
        <v>65</v>
      </c>
      <c r="AN1711" s="1" t="s">
        <v>7105</v>
      </c>
      <c r="AO1711" s="1"/>
      <c r="AP1711" s="2">
        <v>44166.5809027778</v>
      </c>
      <c r="AQ1711" s="1"/>
      <c r="AR1711" s="1" t="s">
        <v>360</v>
      </c>
      <c r="AS1711" s="1"/>
      <c r="AT1711" s="2">
        <v>44269.931099537</v>
      </c>
    </row>
    <row r="1712" ht="13.5" customHeight="1">
      <c r="A1712" s="1">
        <v>2036712.0</v>
      </c>
      <c r="B1712" s="1" t="s">
        <v>67</v>
      </c>
      <c r="C1712" s="1" t="s">
        <v>68</v>
      </c>
      <c r="D1712" s="1" t="s">
        <v>46</v>
      </c>
      <c r="E1712" s="1" t="s">
        <v>7106</v>
      </c>
      <c r="F1712" s="1"/>
      <c r="G1712" s="1" t="s">
        <v>70</v>
      </c>
      <c r="H1712" s="1" t="s">
        <v>93</v>
      </c>
      <c r="I1712" s="1">
        <v>427500.0</v>
      </c>
      <c r="J1712" s="1"/>
      <c r="K1712" s="1"/>
      <c r="L1712" s="1" t="s">
        <v>172</v>
      </c>
      <c r="M1712" s="1" t="s">
        <v>7107</v>
      </c>
      <c r="N1712" s="1" t="s">
        <v>142</v>
      </c>
      <c r="O1712" s="1" t="s">
        <v>143</v>
      </c>
      <c r="P1712" s="2">
        <v>43764.4166666667</v>
      </c>
      <c r="Q1712" s="1" t="s">
        <v>74</v>
      </c>
      <c r="R1712" s="1"/>
      <c r="S1712" s="1"/>
      <c r="T1712" s="1">
        <v>5106158.0</v>
      </c>
      <c r="U1712" s="1" t="s">
        <v>1700</v>
      </c>
      <c r="V1712" s="1" t="s">
        <v>164</v>
      </c>
      <c r="W1712" s="1" t="s">
        <v>177</v>
      </c>
      <c r="X1712" s="1"/>
      <c r="Y1712" s="1" t="str">
        <f>"02001011873202015"</f>
        <v>02001011873202015</v>
      </c>
      <c r="Z1712" s="1" t="s">
        <v>147</v>
      </c>
      <c r="AA1712" s="1" t="s">
        <v>7108</v>
      </c>
      <c r="AB1712" s="1" t="str">
        <f>"***483211**"</f>
        <v>***483211**</v>
      </c>
      <c r="AC1712" s="1"/>
      <c r="AD1712" s="1"/>
      <c r="AE1712" s="1"/>
      <c r="AF1712" s="1">
        <v>-58.019169</v>
      </c>
      <c r="AG1712" s="1">
        <v>-10.026112</v>
      </c>
      <c r="AH1712" s="1" t="s">
        <v>7109</v>
      </c>
      <c r="AI1712" s="1"/>
      <c r="AJ1712" s="1" t="s">
        <v>172</v>
      </c>
      <c r="AK1712" s="1"/>
      <c r="AL1712" s="1" t="s">
        <v>79</v>
      </c>
      <c r="AM1712" s="1" t="s">
        <v>65</v>
      </c>
      <c r="AN1712" s="1" t="s">
        <v>180</v>
      </c>
      <c r="AO1712" s="2">
        <v>43966.0</v>
      </c>
      <c r="AP1712" s="2">
        <v>43966.6456597222</v>
      </c>
      <c r="AQ1712" s="1" t="s">
        <v>80</v>
      </c>
      <c r="AR1712" s="1" t="s">
        <v>636</v>
      </c>
      <c r="AS1712" s="1"/>
      <c r="AT1712" s="2">
        <v>44269.931099537</v>
      </c>
    </row>
    <row r="1713" ht="13.5" customHeight="1">
      <c r="A1713" s="1">
        <v>2035152.0</v>
      </c>
      <c r="B1713" s="1" t="s">
        <v>67</v>
      </c>
      <c r="C1713" s="1" t="s">
        <v>68</v>
      </c>
      <c r="D1713" s="1" t="s">
        <v>46</v>
      </c>
      <c r="E1713" s="1" t="s">
        <v>7110</v>
      </c>
      <c r="F1713" s="1"/>
      <c r="G1713" s="1" t="s">
        <v>70</v>
      </c>
      <c r="H1713" s="1" t="s">
        <v>50</v>
      </c>
      <c r="I1713" s="1">
        <v>310500.0</v>
      </c>
      <c r="J1713" s="1"/>
      <c r="K1713" s="1"/>
      <c r="L1713" s="1" t="s">
        <v>1172</v>
      </c>
      <c r="M1713" s="1" t="s">
        <v>7111</v>
      </c>
      <c r="N1713" s="1" t="s">
        <v>72</v>
      </c>
      <c r="O1713" s="1" t="s">
        <v>213</v>
      </c>
      <c r="P1713" s="2">
        <v>43763.75</v>
      </c>
      <c r="Q1713" s="1" t="s">
        <v>373</v>
      </c>
      <c r="R1713" s="3">
        <v>43763.0</v>
      </c>
      <c r="S1713" s="1"/>
      <c r="T1713" s="1">
        <v>1507300.0</v>
      </c>
      <c r="U1713" s="1" t="s">
        <v>3161</v>
      </c>
      <c r="V1713" s="1" t="s">
        <v>193</v>
      </c>
      <c r="W1713" s="1" t="s">
        <v>177</v>
      </c>
      <c r="X1713" s="1"/>
      <c r="Y1713" s="1" t="str">
        <f>"02047000160202008"</f>
        <v>02047000160202008</v>
      </c>
      <c r="Z1713" s="1" t="s">
        <v>215</v>
      </c>
      <c r="AA1713" s="1" t="s">
        <v>7112</v>
      </c>
      <c r="AB1713" s="1" t="str">
        <f t="shared" ref="AB1713:AB1714" si="103">"***282621**"</f>
        <v>***282621**</v>
      </c>
      <c r="AC1713" s="1"/>
      <c r="AD1713" s="1"/>
      <c r="AE1713" s="1"/>
      <c r="AF1713" s="1">
        <v>-51.198612</v>
      </c>
      <c r="AG1713" s="1">
        <v>-5.484444</v>
      </c>
      <c r="AH1713" s="1" t="s">
        <v>7113</v>
      </c>
      <c r="AI1713" s="1"/>
      <c r="AJ1713" s="1" t="s">
        <v>1172</v>
      </c>
      <c r="AK1713" s="1"/>
      <c r="AL1713" s="1" t="s">
        <v>79</v>
      </c>
      <c r="AM1713" s="1" t="s">
        <v>65</v>
      </c>
      <c r="AN1713" s="1" t="s">
        <v>6919</v>
      </c>
      <c r="AO1713" s="2">
        <v>43896.0</v>
      </c>
      <c r="AP1713" s="2">
        <v>43896.3574768519</v>
      </c>
      <c r="AQ1713" s="1" t="s">
        <v>80</v>
      </c>
      <c r="AR1713" s="1" t="s">
        <v>909</v>
      </c>
      <c r="AS1713" s="1"/>
      <c r="AT1713" s="2">
        <v>44269.931099537</v>
      </c>
    </row>
    <row r="1714" ht="13.5" customHeight="1">
      <c r="A1714" s="1">
        <v>2039101.0</v>
      </c>
      <c r="B1714" s="1" t="s">
        <v>67</v>
      </c>
      <c r="C1714" s="1" t="s">
        <v>68</v>
      </c>
      <c r="D1714" s="1" t="s">
        <v>46</v>
      </c>
      <c r="E1714" s="1" t="s">
        <v>7114</v>
      </c>
      <c r="F1714" s="1"/>
      <c r="G1714" s="1" t="s">
        <v>70</v>
      </c>
      <c r="H1714" s="1" t="s">
        <v>50</v>
      </c>
      <c r="I1714" s="1">
        <v>220000.0</v>
      </c>
      <c r="J1714" s="1"/>
      <c r="K1714" s="1"/>
      <c r="L1714" s="1" t="s">
        <v>1172</v>
      </c>
      <c r="M1714" s="1" t="s">
        <v>7115</v>
      </c>
      <c r="N1714" s="1" t="s">
        <v>72</v>
      </c>
      <c r="O1714" s="1" t="s">
        <v>73</v>
      </c>
      <c r="P1714" s="2">
        <v>43763.75</v>
      </c>
      <c r="Q1714" s="1" t="s">
        <v>373</v>
      </c>
      <c r="R1714" s="3">
        <v>43763.0</v>
      </c>
      <c r="S1714" s="1"/>
      <c r="T1714" s="1">
        <v>1507300.0</v>
      </c>
      <c r="U1714" s="1" t="s">
        <v>3161</v>
      </c>
      <c r="V1714" s="1" t="s">
        <v>193</v>
      </c>
      <c r="W1714" s="1" t="s">
        <v>177</v>
      </c>
      <c r="X1714" s="1"/>
      <c r="Y1714" s="1"/>
      <c r="Z1714" s="1" t="s">
        <v>76</v>
      </c>
      <c r="AA1714" s="1" t="s">
        <v>7112</v>
      </c>
      <c r="AB1714" s="1" t="str">
        <f t="shared" si="103"/>
        <v>***282621**</v>
      </c>
      <c r="AC1714" s="1"/>
      <c r="AD1714" s="1"/>
      <c r="AE1714" s="1"/>
      <c r="AF1714" s="1">
        <v>-51.198334</v>
      </c>
      <c r="AG1714" s="1">
        <v>-5.484444</v>
      </c>
      <c r="AH1714" s="1" t="s">
        <v>7116</v>
      </c>
      <c r="AI1714" s="1"/>
      <c r="AJ1714" s="1" t="s">
        <v>1172</v>
      </c>
      <c r="AK1714" s="1"/>
      <c r="AL1714" s="1" t="s">
        <v>79</v>
      </c>
      <c r="AM1714" s="1" t="s">
        <v>65</v>
      </c>
      <c r="AN1714" s="1" t="s">
        <v>6919</v>
      </c>
      <c r="AO1714" s="2">
        <v>44054.0</v>
      </c>
      <c r="AP1714" s="2">
        <v>44054.6332638889</v>
      </c>
      <c r="AQ1714" s="1" t="s">
        <v>80</v>
      </c>
      <c r="AR1714" s="1" t="s">
        <v>1607</v>
      </c>
      <c r="AS1714" s="1"/>
      <c r="AT1714" s="2">
        <v>44269.931099537</v>
      </c>
    </row>
    <row r="1715" ht="13.5" customHeight="1">
      <c r="A1715" s="1">
        <v>2040795.0</v>
      </c>
      <c r="B1715" s="1" t="s">
        <v>67</v>
      </c>
      <c r="C1715" s="1" t="s">
        <v>68</v>
      </c>
      <c r="D1715" s="1" t="s">
        <v>46</v>
      </c>
      <c r="E1715" s="1" t="s">
        <v>7117</v>
      </c>
      <c r="F1715" s="1"/>
      <c r="G1715" s="1" t="s">
        <v>70</v>
      </c>
      <c r="H1715" s="1" t="s">
        <v>93</v>
      </c>
      <c r="I1715" s="1">
        <v>500.0</v>
      </c>
      <c r="J1715" s="1"/>
      <c r="K1715" s="1"/>
      <c r="L1715" s="1" t="s">
        <v>64</v>
      </c>
      <c r="M1715" s="1" t="s">
        <v>7118</v>
      </c>
      <c r="N1715" s="1" t="s">
        <v>283</v>
      </c>
      <c r="O1715" s="1" t="s">
        <v>978</v>
      </c>
      <c r="P1715" s="2">
        <v>43763.75</v>
      </c>
      <c r="Q1715" s="1" t="s">
        <v>74</v>
      </c>
      <c r="R1715" s="3">
        <v>43762.0</v>
      </c>
      <c r="S1715" s="1"/>
      <c r="T1715" s="1">
        <v>3509502.0</v>
      </c>
      <c r="U1715" s="1" t="s">
        <v>97</v>
      </c>
      <c r="V1715" s="1" t="s">
        <v>58</v>
      </c>
      <c r="W1715" s="1" t="s">
        <v>59</v>
      </c>
      <c r="X1715" s="1"/>
      <c r="Y1715" s="1" t="str">
        <f>"02027022391201969"</f>
        <v>02027022391201969</v>
      </c>
      <c r="Z1715" s="1" t="s">
        <v>980</v>
      </c>
      <c r="AA1715" s="1" t="s">
        <v>7119</v>
      </c>
      <c r="AB1715" s="1" t="str">
        <f>"04124050000131"</f>
        <v>04124050000131</v>
      </c>
      <c r="AC1715" s="1"/>
      <c r="AD1715" s="1"/>
      <c r="AE1715" s="1"/>
      <c r="AF1715" s="1">
        <v>-47.144169</v>
      </c>
      <c r="AG1715" s="1">
        <v>-23.007778</v>
      </c>
      <c r="AH1715" s="1" t="s">
        <v>5175</v>
      </c>
      <c r="AI1715" s="1"/>
      <c r="AJ1715" s="1" t="s">
        <v>64</v>
      </c>
      <c r="AK1715" s="1"/>
      <c r="AL1715" s="1" t="s">
        <v>79</v>
      </c>
      <c r="AM1715" s="1" t="s">
        <v>65</v>
      </c>
      <c r="AN1715" s="1" t="s">
        <v>102</v>
      </c>
      <c r="AO1715" s="2">
        <v>44139.0</v>
      </c>
      <c r="AP1715" s="2">
        <v>44139.4728703704</v>
      </c>
      <c r="AQ1715" s="1" t="s">
        <v>80</v>
      </c>
      <c r="AR1715" s="1" t="s">
        <v>6447</v>
      </c>
      <c r="AS1715" s="1"/>
      <c r="AT1715" s="2">
        <v>44269.931099537</v>
      </c>
    </row>
    <row r="1716" ht="13.5" customHeight="1">
      <c r="A1716" s="1">
        <v>2044138.0</v>
      </c>
      <c r="B1716" s="1" t="s">
        <v>67</v>
      </c>
      <c r="C1716" s="1" t="s">
        <v>68</v>
      </c>
      <c r="D1716" s="1" t="s">
        <v>46</v>
      </c>
      <c r="E1716" s="1" t="s">
        <v>7120</v>
      </c>
      <c r="F1716" s="1"/>
      <c r="G1716" s="1" t="s">
        <v>70</v>
      </c>
      <c r="H1716" s="1" t="s">
        <v>93</v>
      </c>
      <c r="I1716" s="1">
        <v>4.6285E7</v>
      </c>
      <c r="J1716" s="1"/>
      <c r="K1716" s="1"/>
      <c r="L1716" s="1" t="s">
        <v>444</v>
      </c>
      <c r="M1716" s="1" t="s">
        <v>7121</v>
      </c>
      <c r="N1716" s="1" t="s">
        <v>142</v>
      </c>
      <c r="O1716" s="1"/>
      <c r="P1716" s="2">
        <v>43763.7291666667</v>
      </c>
      <c r="Q1716" s="1" t="s">
        <v>74</v>
      </c>
      <c r="R1716" s="1"/>
      <c r="S1716" s="1"/>
      <c r="T1716" s="1">
        <v>1100205.0</v>
      </c>
      <c r="U1716" s="1" t="s">
        <v>653</v>
      </c>
      <c r="V1716" s="1" t="s">
        <v>448</v>
      </c>
      <c r="W1716" s="1" t="s">
        <v>177</v>
      </c>
      <c r="X1716" s="1"/>
      <c r="Y1716" s="1" t="str">
        <f>"02024007432201917"</f>
        <v>02024007432201917</v>
      </c>
      <c r="Z1716" s="1" t="s">
        <v>147</v>
      </c>
      <c r="AA1716" s="1" t="s">
        <v>6652</v>
      </c>
      <c r="AB1716" s="1" t="str">
        <f>"77294254001913"</f>
        <v>77294254001913</v>
      </c>
      <c r="AC1716" s="1"/>
      <c r="AD1716" s="1" t="s">
        <v>116</v>
      </c>
      <c r="AE1716" s="1"/>
      <c r="AF1716" s="1">
        <v>-65.771389</v>
      </c>
      <c r="AG1716" s="1">
        <v>-9.613611</v>
      </c>
      <c r="AH1716" s="1" t="s">
        <v>7122</v>
      </c>
      <c r="AI1716" s="1"/>
      <c r="AJ1716" s="1"/>
      <c r="AK1716" s="1"/>
      <c r="AL1716" s="1" t="s">
        <v>118</v>
      </c>
      <c r="AM1716" s="1"/>
      <c r="AN1716" s="1"/>
      <c r="AO1716" s="2">
        <v>44263.7672106482</v>
      </c>
      <c r="AP1716" s="2">
        <v>44263.7673148148</v>
      </c>
      <c r="AQ1716" s="1" t="s">
        <v>80</v>
      </c>
      <c r="AR1716" s="1" t="s">
        <v>7123</v>
      </c>
      <c r="AS1716" s="1"/>
      <c r="AT1716" s="2">
        <v>44269.931099537</v>
      </c>
    </row>
    <row r="1717" ht="13.5" customHeight="1">
      <c r="A1717" s="1"/>
      <c r="B1717" s="1" t="s">
        <v>46</v>
      </c>
      <c r="C1717" s="1" t="s">
        <v>47</v>
      </c>
      <c r="D1717" s="1"/>
      <c r="E1717" s="1" t="s">
        <v>7124</v>
      </c>
      <c r="F1717" s="1"/>
      <c r="G1717" s="1" t="s">
        <v>49</v>
      </c>
      <c r="H1717" s="1" t="s">
        <v>93</v>
      </c>
      <c r="I1717" s="1">
        <v>4.6285E7</v>
      </c>
      <c r="J1717" s="1"/>
      <c r="K1717" s="1"/>
      <c r="L1717" s="1"/>
      <c r="M1717" s="1" t="s">
        <v>7125</v>
      </c>
      <c r="N1717" s="1" t="s">
        <v>142</v>
      </c>
      <c r="O1717" s="1" t="s">
        <v>143</v>
      </c>
      <c r="P1717" s="2">
        <v>43763.7107060185</v>
      </c>
      <c r="Q1717" s="1" t="s">
        <v>74</v>
      </c>
      <c r="R1717" s="3">
        <v>43780.0</v>
      </c>
      <c r="S1717" s="1"/>
      <c r="T1717" s="1">
        <v>1100205.0</v>
      </c>
      <c r="U1717" s="1" t="s">
        <v>653</v>
      </c>
      <c r="V1717" s="1" t="s">
        <v>448</v>
      </c>
      <c r="W1717" s="1" t="s">
        <v>177</v>
      </c>
      <c r="X1717" s="1"/>
      <c r="Y1717" s="1"/>
      <c r="Z1717" s="1" t="s">
        <v>147</v>
      </c>
      <c r="AA1717" s="1" t="s">
        <v>6657</v>
      </c>
      <c r="AB1717" s="1" t="str">
        <f>"***391002**"</f>
        <v>***391002**</v>
      </c>
      <c r="AC1717" s="1"/>
      <c r="AD1717" s="1" t="s">
        <v>62</v>
      </c>
      <c r="AE1717" s="1"/>
      <c r="AF1717" s="1">
        <v>-65.771393</v>
      </c>
      <c r="AG1717" s="1">
        <v>-9.613611</v>
      </c>
      <c r="AH1717" s="1" t="s">
        <v>7126</v>
      </c>
      <c r="AI1717" s="1"/>
      <c r="AJ1717" s="1" t="s">
        <v>172</v>
      </c>
      <c r="AK1717" s="1"/>
      <c r="AL1717" s="1"/>
      <c r="AM1717" s="1" t="s">
        <v>65</v>
      </c>
      <c r="AN1717" s="1" t="s">
        <v>6258</v>
      </c>
      <c r="AO1717" s="1"/>
      <c r="AP1717" s="2">
        <v>44237.7927430556</v>
      </c>
      <c r="AQ1717" s="1"/>
      <c r="AR1717" s="1" t="s">
        <v>6878</v>
      </c>
      <c r="AS1717" s="1"/>
      <c r="AT1717" s="2">
        <v>44269.931099537</v>
      </c>
    </row>
    <row r="1718" ht="13.5" customHeight="1">
      <c r="A1718" s="1">
        <v>2035151.0</v>
      </c>
      <c r="B1718" s="1" t="s">
        <v>67</v>
      </c>
      <c r="C1718" s="1" t="s">
        <v>68</v>
      </c>
      <c r="D1718" s="1" t="s">
        <v>46</v>
      </c>
      <c r="E1718" s="1" t="s">
        <v>7127</v>
      </c>
      <c r="F1718" s="1"/>
      <c r="G1718" s="1" t="s">
        <v>70</v>
      </c>
      <c r="H1718" s="1" t="s">
        <v>93</v>
      </c>
      <c r="I1718" s="1">
        <v>45503.87</v>
      </c>
      <c r="J1718" s="1"/>
      <c r="K1718" s="1"/>
      <c r="L1718" s="1" t="s">
        <v>1172</v>
      </c>
      <c r="M1718" s="1" t="s">
        <v>7128</v>
      </c>
      <c r="N1718" s="1" t="s">
        <v>142</v>
      </c>
      <c r="O1718" s="1" t="s">
        <v>143</v>
      </c>
      <c r="P1718" s="2">
        <v>43763.7083333333</v>
      </c>
      <c r="Q1718" s="1" t="s">
        <v>74</v>
      </c>
      <c r="R1718" s="3">
        <v>43762.0</v>
      </c>
      <c r="S1718" s="1"/>
      <c r="T1718" s="1">
        <v>1507300.0</v>
      </c>
      <c r="U1718" s="1" t="s">
        <v>3161</v>
      </c>
      <c r="V1718" s="1" t="s">
        <v>193</v>
      </c>
      <c r="W1718" s="1" t="s">
        <v>177</v>
      </c>
      <c r="X1718" s="1"/>
      <c r="Y1718" s="1" t="str">
        <f>"02047000159202075"</f>
        <v>02047000159202075</v>
      </c>
      <c r="Z1718" s="1" t="s">
        <v>147</v>
      </c>
      <c r="AA1718" s="1" t="s">
        <v>7129</v>
      </c>
      <c r="AB1718" s="1" t="str">
        <f>"***200202**"</f>
        <v>***200202**</v>
      </c>
      <c r="AC1718" s="1"/>
      <c r="AD1718" s="1"/>
      <c r="AE1718" s="1"/>
      <c r="AF1718" s="1">
        <v>-51.208336</v>
      </c>
      <c r="AG1718" s="1">
        <v>-5.485</v>
      </c>
      <c r="AH1718" s="1" t="s">
        <v>7130</v>
      </c>
      <c r="AI1718" s="1"/>
      <c r="AJ1718" s="1" t="s">
        <v>1172</v>
      </c>
      <c r="AK1718" s="1"/>
      <c r="AL1718" s="1" t="s">
        <v>79</v>
      </c>
      <c r="AM1718" s="1" t="s">
        <v>65</v>
      </c>
      <c r="AN1718" s="1" t="s">
        <v>6919</v>
      </c>
      <c r="AO1718" s="2">
        <v>43896.0</v>
      </c>
      <c r="AP1718" s="2">
        <v>43896.3561342593</v>
      </c>
      <c r="AQ1718" s="1" t="s">
        <v>80</v>
      </c>
      <c r="AR1718" s="1" t="s">
        <v>577</v>
      </c>
      <c r="AS1718" s="1" t="s">
        <v>7131</v>
      </c>
      <c r="AT1718" s="2">
        <v>44269.931099537</v>
      </c>
    </row>
    <row r="1719" ht="13.5" customHeight="1">
      <c r="A1719" s="1">
        <v>2039929.0</v>
      </c>
      <c r="B1719" s="1" t="s">
        <v>67</v>
      </c>
      <c r="C1719" s="1" t="s">
        <v>68</v>
      </c>
      <c r="D1719" s="1" t="s">
        <v>46</v>
      </c>
      <c r="E1719" s="1" t="s">
        <v>7132</v>
      </c>
      <c r="F1719" s="1"/>
      <c r="G1719" s="1" t="s">
        <v>70</v>
      </c>
      <c r="H1719" s="1" t="s">
        <v>93</v>
      </c>
      <c r="I1719" s="1">
        <v>4000.0</v>
      </c>
      <c r="J1719" s="1"/>
      <c r="K1719" s="1"/>
      <c r="L1719" s="1" t="s">
        <v>64</v>
      </c>
      <c r="M1719" s="1" t="s">
        <v>7133</v>
      </c>
      <c r="N1719" s="1" t="s">
        <v>72</v>
      </c>
      <c r="O1719" s="1" t="s">
        <v>73</v>
      </c>
      <c r="P1719" s="2">
        <v>43763.7083333333</v>
      </c>
      <c r="Q1719" s="1" t="s">
        <v>74</v>
      </c>
      <c r="R1719" s="3">
        <v>43762.0</v>
      </c>
      <c r="S1719" s="1"/>
      <c r="T1719" s="1">
        <v>3509502.0</v>
      </c>
      <c r="U1719" s="1" t="s">
        <v>97</v>
      </c>
      <c r="V1719" s="1" t="s">
        <v>58</v>
      </c>
      <c r="W1719" s="1" t="s">
        <v>59</v>
      </c>
      <c r="X1719" s="1"/>
      <c r="Y1719" s="1" t="str">
        <f>"02027022389201990"</f>
        <v>02027022389201990</v>
      </c>
      <c r="Z1719" s="1" t="s">
        <v>76</v>
      </c>
      <c r="AA1719" s="1" t="s">
        <v>7134</v>
      </c>
      <c r="AB1719" s="1" t="str">
        <f t="shared" ref="AB1719:AB1720" si="104">"01567613000178"</f>
        <v>01567613000178</v>
      </c>
      <c r="AC1719" s="1"/>
      <c r="AD1719" s="1"/>
      <c r="AE1719" s="1"/>
      <c r="AF1719" s="1">
        <v>-47.144169</v>
      </c>
      <c r="AG1719" s="1">
        <v>-23.007778</v>
      </c>
      <c r="AH1719" s="1" t="s">
        <v>5175</v>
      </c>
      <c r="AI1719" s="1"/>
      <c r="AJ1719" s="1" t="s">
        <v>64</v>
      </c>
      <c r="AK1719" s="1"/>
      <c r="AL1719" s="1" t="s">
        <v>79</v>
      </c>
      <c r="AM1719" s="1" t="s">
        <v>65</v>
      </c>
      <c r="AN1719" s="1" t="s">
        <v>102</v>
      </c>
      <c r="AO1719" s="2">
        <v>44077.0</v>
      </c>
      <c r="AP1719" s="2">
        <v>44077.6403472222</v>
      </c>
      <c r="AQ1719" s="1" t="s">
        <v>80</v>
      </c>
      <c r="AR1719" s="1" t="s">
        <v>1072</v>
      </c>
      <c r="AS1719" s="1"/>
      <c r="AT1719" s="2">
        <v>44269.931099537</v>
      </c>
    </row>
    <row r="1720" ht="13.5" customHeight="1">
      <c r="A1720" s="1">
        <v>2040794.0</v>
      </c>
      <c r="B1720" s="1" t="s">
        <v>67</v>
      </c>
      <c r="C1720" s="1" t="s">
        <v>68</v>
      </c>
      <c r="D1720" s="1" t="s">
        <v>46</v>
      </c>
      <c r="E1720" s="1" t="s">
        <v>7135</v>
      </c>
      <c r="F1720" s="1"/>
      <c r="G1720" s="1" t="s">
        <v>70</v>
      </c>
      <c r="H1720" s="1" t="s">
        <v>93</v>
      </c>
      <c r="I1720" s="1">
        <v>500.0</v>
      </c>
      <c r="J1720" s="1"/>
      <c r="K1720" s="1"/>
      <c r="L1720" s="1" t="s">
        <v>64</v>
      </c>
      <c r="M1720" s="1" t="s">
        <v>7136</v>
      </c>
      <c r="N1720" s="1" t="s">
        <v>283</v>
      </c>
      <c r="O1720" s="1" t="s">
        <v>978</v>
      </c>
      <c r="P1720" s="2">
        <v>43763.7083333333</v>
      </c>
      <c r="Q1720" s="1" t="s">
        <v>74</v>
      </c>
      <c r="R1720" s="1"/>
      <c r="S1720" s="1"/>
      <c r="T1720" s="1">
        <v>3509502.0</v>
      </c>
      <c r="U1720" s="1" t="s">
        <v>97</v>
      </c>
      <c r="V1720" s="1" t="s">
        <v>58</v>
      </c>
      <c r="W1720" s="1" t="s">
        <v>59</v>
      </c>
      <c r="X1720" s="1"/>
      <c r="Y1720" s="1" t="str">
        <f>"02027022387201909"</f>
        <v>02027022387201909</v>
      </c>
      <c r="Z1720" s="1" t="s">
        <v>980</v>
      </c>
      <c r="AA1720" s="1" t="s">
        <v>7134</v>
      </c>
      <c r="AB1720" s="1" t="str">
        <f t="shared" si="104"/>
        <v>01567613000178</v>
      </c>
      <c r="AC1720" s="1"/>
      <c r="AD1720" s="1"/>
      <c r="AE1720" s="1"/>
      <c r="AF1720" s="1">
        <v>-47.144169</v>
      </c>
      <c r="AG1720" s="1">
        <v>-23.007778</v>
      </c>
      <c r="AH1720" s="1" t="s">
        <v>5175</v>
      </c>
      <c r="AI1720" s="1"/>
      <c r="AJ1720" s="1" t="s">
        <v>64</v>
      </c>
      <c r="AK1720" s="1"/>
      <c r="AL1720" s="1" t="s">
        <v>79</v>
      </c>
      <c r="AM1720" s="1" t="s">
        <v>65</v>
      </c>
      <c r="AN1720" s="1" t="s">
        <v>102</v>
      </c>
      <c r="AO1720" s="2">
        <v>44139.0</v>
      </c>
      <c r="AP1720" s="2">
        <v>44139.4710069444</v>
      </c>
      <c r="AQ1720" s="1" t="s">
        <v>80</v>
      </c>
      <c r="AR1720" s="1" t="s">
        <v>6447</v>
      </c>
      <c r="AS1720" s="1"/>
      <c r="AT1720" s="2">
        <v>44269.931099537</v>
      </c>
    </row>
    <row r="1721" ht="13.5" customHeight="1">
      <c r="A1721" s="1"/>
      <c r="B1721" s="1" t="s">
        <v>46</v>
      </c>
      <c r="C1721" s="1" t="s">
        <v>47</v>
      </c>
      <c r="D1721" s="1"/>
      <c r="E1721" s="1" t="s">
        <v>7137</v>
      </c>
      <c r="F1721" s="1"/>
      <c r="G1721" s="1" t="s">
        <v>49</v>
      </c>
      <c r="H1721" s="1" t="s">
        <v>93</v>
      </c>
      <c r="I1721" s="1">
        <v>2.29E7</v>
      </c>
      <c r="J1721" s="1"/>
      <c r="K1721" s="1"/>
      <c r="L1721" s="1"/>
      <c r="M1721" s="1" t="s">
        <v>7138</v>
      </c>
      <c r="N1721" s="1" t="s">
        <v>142</v>
      </c>
      <c r="O1721" s="1" t="s">
        <v>143</v>
      </c>
      <c r="P1721" s="2">
        <v>43763.6847916667</v>
      </c>
      <c r="Q1721" s="1" t="s">
        <v>74</v>
      </c>
      <c r="R1721" s="3">
        <v>43780.0</v>
      </c>
      <c r="S1721" s="1"/>
      <c r="T1721" s="1">
        <v>1100205.0</v>
      </c>
      <c r="U1721" s="1" t="s">
        <v>653</v>
      </c>
      <c r="V1721" s="1" t="s">
        <v>448</v>
      </c>
      <c r="W1721" s="1" t="s">
        <v>177</v>
      </c>
      <c r="X1721" s="1"/>
      <c r="Y1721" s="1"/>
      <c r="Z1721" s="1" t="s">
        <v>147</v>
      </c>
      <c r="AA1721" s="1" t="s">
        <v>7139</v>
      </c>
      <c r="AB1721" s="1" t="str">
        <f>"77294254001913"</f>
        <v>77294254001913</v>
      </c>
      <c r="AC1721" s="1"/>
      <c r="AD1721" s="1" t="s">
        <v>62</v>
      </c>
      <c r="AE1721" s="1"/>
      <c r="AF1721" s="1">
        <v>-65.771393</v>
      </c>
      <c r="AG1721" s="1">
        <v>-9.613611</v>
      </c>
      <c r="AH1721" s="1" t="s">
        <v>7140</v>
      </c>
      <c r="AI1721" s="1"/>
      <c r="AJ1721" s="1" t="s">
        <v>172</v>
      </c>
      <c r="AK1721" s="1"/>
      <c r="AL1721" s="1"/>
      <c r="AM1721" s="1" t="s">
        <v>65</v>
      </c>
      <c r="AN1721" s="1" t="s">
        <v>6258</v>
      </c>
      <c r="AO1721" s="1"/>
      <c r="AP1721" s="2">
        <v>44237.7928356482</v>
      </c>
      <c r="AQ1721" s="1"/>
      <c r="AR1721" s="1" t="s">
        <v>7141</v>
      </c>
      <c r="AS1721" s="1"/>
      <c r="AT1721" s="2">
        <v>44269.931099537</v>
      </c>
    </row>
    <row r="1722" ht="13.5" customHeight="1">
      <c r="A1722" s="1">
        <v>2037570.0</v>
      </c>
      <c r="B1722" s="1" t="s">
        <v>67</v>
      </c>
      <c r="C1722" s="1" t="s">
        <v>89</v>
      </c>
      <c r="D1722" s="1" t="s">
        <v>67</v>
      </c>
      <c r="E1722" s="1" t="s">
        <v>7142</v>
      </c>
      <c r="F1722" s="1"/>
      <c r="G1722" s="1" t="s">
        <v>70</v>
      </c>
      <c r="H1722" s="1" t="s">
        <v>93</v>
      </c>
      <c r="I1722" s="1">
        <v>4.6285E7</v>
      </c>
      <c r="J1722" s="1"/>
      <c r="K1722" s="1"/>
      <c r="L1722" s="1" t="s">
        <v>172</v>
      </c>
      <c r="M1722" s="1" t="s">
        <v>220</v>
      </c>
      <c r="N1722" s="1" t="s">
        <v>142</v>
      </c>
      <c r="O1722" s="1" t="s">
        <v>143</v>
      </c>
      <c r="P1722" s="2">
        <v>43763.6666666667</v>
      </c>
      <c r="Q1722" s="1" t="s">
        <v>74</v>
      </c>
      <c r="R1722" s="3">
        <v>43779.0</v>
      </c>
      <c r="S1722" s="1" t="s">
        <v>7093</v>
      </c>
      <c r="T1722" s="1">
        <v>1100205.0</v>
      </c>
      <c r="U1722" s="1" t="s">
        <v>653</v>
      </c>
      <c r="V1722" s="1" t="s">
        <v>448</v>
      </c>
      <c r="W1722" s="1" t="s">
        <v>177</v>
      </c>
      <c r="X1722" s="1"/>
      <c r="Y1722" s="1" t="str">
        <f>"02001036393201923"</f>
        <v>02001036393201923</v>
      </c>
      <c r="Z1722" s="1" t="s">
        <v>147</v>
      </c>
      <c r="AA1722" s="1" t="s">
        <v>6657</v>
      </c>
      <c r="AB1722" s="1" t="str">
        <f>"***391002**"</f>
        <v>***391002**</v>
      </c>
      <c r="AC1722" s="1"/>
      <c r="AD1722" s="1"/>
      <c r="AE1722" s="1"/>
      <c r="AF1722" s="1">
        <v>-65.771393</v>
      </c>
      <c r="AG1722" s="1">
        <v>-9.613611</v>
      </c>
      <c r="AH1722" s="1" t="s">
        <v>7143</v>
      </c>
      <c r="AI1722" s="1"/>
      <c r="AJ1722" s="1" t="s">
        <v>172</v>
      </c>
      <c r="AK1722" s="1"/>
      <c r="AL1722" s="1" t="s">
        <v>79</v>
      </c>
      <c r="AM1722" s="1" t="s">
        <v>65</v>
      </c>
      <c r="AN1722" s="1" t="s">
        <v>6258</v>
      </c>
      <c r="AO1722" s="2">
        <v>44001.0</v>
      </c>
      <c r="AP1722" s="2">
        <v>44004.6094328704</v>
      </c>
      <c r="AQ1722" s="1" t="s">
        <v>89</v>
      </c>
      <c r="AR1722" s="1" t="s">
        <v>6654</v>
      </c>
      <c r="AS1722" s="1"/>
      <c r="AT1722" s="2">
        <v>44269.931099537</v>
      </c>
    </row>
    <row r="1723" ht="13.5" customHeight="1">
      <c r="A1723" s="1">
        <v>2037784.0</v>
      </c>
      <c r="B1723" s="1" t="s">
        <v>67</v>
      </c>
      <c r="C1723" s="1" t="s">
        <v>68</v>
      </c>
      <c r="D1723" s="1" t="s">
        <v>46</v>
      </c>
      <c r="E1723" s="1" t="s">
        <v>7144</v>
      </c>
      <c r="F1723" s="1"/>
      <c r="G1723" s="1" t="s">
        <v>70</v>
      </c>
      <c r="H1723" s="1" t="s">
        <v>93</v>
      </c>
      <c r="I1723" s="1">
        <v>4.6255E7</v>
      </c>
      <c r="J1723" s="1"/>
      <c r="K1723" s="1"/>
      <c r="L1723" s="1" t="s">
        <v>172</v>
      </c>
      <c r="M1723" s="1" t="s">
        <v>7145</v>
      </c>
      <c r="N1723" s="1" t="s">
        <v>142</v>
      </c>
      <c r="O1723" s="1" t="s">
        <v>143</v>
      </c>
      <c r="P1723" s="2">
        <v>43763.6666666667</v>
      </c>
      <c r="Q1723" s="1" t="s">
        <v>74</v>
      </c>
      <c r="R1723" s="3">
        <v>43779.0</v>
      </c>
      <c r="S1723" s="1"/>
      <c r="T1723" s="1">
        <v>1100205.0</v>
      </c>
      <c r="U1723" s="1" t="s">
        <v>653</v>
      </c>
      <c r="V1723" s="1" t="s">
        <v>448</v>
      </c>
      <c r="W1723" s="1" t="s">
        <v>177</v>
      </c>
      <c r="X1723" s="1"/>
      <c r="Y1723" s="1" t="str">
        <f>"02001036446201914"</f>
        <v>02001036446201914</v>
      </c>
      <c r="Z1723" s="1" t="s">
        <v>147</v>
      </c>
      <c r="AA1723" s="1" t="s">
        <v>6652</v>
      </c>
      <c r="AB1723" s="1" t="str">
        <f>"77294254001913"</f>
        <v>77294254001913</v>
      </c>
      <c r="AC1723" s="1"/>
      <c r="AD1723" s="1"/>
      <c r="AE1723" s="1"/>
      <c r="AF1723" s="1">
        <v>-65.771393</v>
      </c>
      <c r="AG1723" s="1">
        <v>-9.613611</v>
      </c>
      <c r="AH1723" s="1" t="s">
        <v>7146</v>
      </c>
      <c r="AI1723" s="1"/>
      <c r="AJ1723" s="1" t="s">
        <v>172</v>
      </c>
      <c r="AK1723" s="1"/>
      <c r="AL1723" s="1" t="s">
        <v>79</v>
      </c>
      <c r="AM1723" s="1" t="s">
        <v>65</v>
      </c>
      <c r="AN1723" s="1" t="s">
        <v>6258</v>
      </c>
      <c r="AO1723" s="2">
        <v>44008.0</v>
      </c>
      <c r="AP1723" s="2">
        <v>44008.6638657407</v>
      </c>
      <c r="AQ1723" s="1" t="s">
        <v>80</v>
      </c>
      <c r="AR1723" s="1" t="s">
        <v>7147</v>
      </c>
      <c r="AS1723" s="1"/>
      <c r="AT1723" s="2">
        <v>44269.931099537</v>
      </c>
    </row>
    <row r="1724" ht="13.5" customHeight="1">
      <c r="A1724" s="1"/>
      <c r="B1724" s="1" t="s">
        <v>46</v>
      </c>
      <c r="C1724" s="1" t="s">
        <v>47</v>
      </c>
      <c r="D1724" s="1"/>
      <c r="E1724" s="1" t="s">
        <v>7148</v>
      </c>
      <c r="F1724" s="1"/>
      <c r="G1724" s="1"/>
      <c r="H1724" s="1" t="s">
        <v>93</v>
      </c>
      <c r="I1724" s="1">
        <v>6768.72</v>
      </c>
      <c r="J1724" s="1"/>
      <c r="K1724" s="1"/>
      <c r="L1724" s="1"/>
      <c r="M1724" s="1" t="s">
        <v>7149</v>
      </c>
      <c r="N1724" s="1" t="s">
        <v>142</v>
      </c>
      <c r="O1724" s="1" t="s">
        <v>143</v>
      </c>
      <c r="P1724" s="2">
        <v>43763.6613310185</v>
      </c>
      <c r="Q1724" s="1" t="s">
        <v>373</v>
      </c>
      <c r="R1724" s="1"/>
      <c r="S1724" s="1"/>
      <c r="T1724" s="1">
        <v>2208403.0</v>
      </c>
      <c r="U1724" s="1" t="s">
        <v>7150</v>
      </c>
      <c r="V1724" s="1" t="s">
        <v>895</v>
      </c>
      <c r="W1724" s="1" t="s">
        <v>127</v>
      </c>
      <c r="X1724" s="1"/>
      <c r="Y1724" s="1"/>
      <c r="Z1724" s="1" t="s">
        <v>147</v>
      </c>
      <c r="AA1724" s="1" t="s">
        <v>7151</v>
      </c>
      <c r="AB1724" s="1" t="str">
        <f>"***690084**"</f>
        <v>***690084**</v>
      </c>
      <c r="AC1724" s="1"/>
      <c r="AD1724" s="1" t="s">
        <v>62</v>
      </c>
      <c r="AE1724" s="1"/>
      <c r="AF1724" s="1">
        <v>-41.878334</v>
      </c>
      <c r="AG1724" s="1">
        <v>-4.451111</v>
      </c>
      <c r="AH1724" s="1" t="s">
        <v>7152</v>
      </c>
      <c r="AI1724" s="1"/>
      <c r="AJ1724" s="1" t="s">
        <v>898</v>
      </c>
      <c r="AK1724" s="1"/>
      <c r="AL1724" s="1"/>
      <c r="AM1724" s="1" t="s">
        <v>65</v>
      </c>
      <c r="AN1724" s="1" t="s">
        <v>152</v>
      </c>
      <c r="AO1724" s="1"/>
      <c r="AP1724" s="2">
        <v>43763.6767476852</v>
      </c>
      <c r="AQ1724" s="1"/>
      <c r="AR1724" s="1" t="s">
        <v>280</v>
      </c>
      <c r="AS1724" s="1"/>
      <c r="AT1724" s="2">
        <v>44269.931099537</v>
      </c>
    </row>
    <row r="1725" ht="13.5" customHeight="1">
      <c r="A1725" s="1"/>
      <c r="B1725" s="1" t="s">
        <v>46</v>
      </c>
      <c r="C1725" s="1" t="s">
        <v>47</v>
      </c>
      <c r="D1725" s="1"/>
      <c r="E1725" s="1" t="s">
        <v>7153</v>
      </c>
      <c r="F1725" s="1"/>
      <c r="G1725" s="1"/>
      <c r="H1725" s="1"/>
      <c r="I1725" s="1"/>
      <c r="J1725" s="1"/>
      <c r="K1725" s="1"/>
      <c r="L1725" s="1"/>
      <c r="M1725" s="1"/>
      <c r="N1725" s="1" t="s">
        <v>142</v>
      </c>
      <c r="O1725" s="1" t="s">
        <v>143</v>
      </c>
      <c r="P1725" s="2">
        <v>43763.5780324074</v>
      </c>
      <c r="Q1725" s="1"/>
      <c r="R1725" s="1"/>
      <c r="S1725" s="1"/>
      <c r="T1725" s="1">
        <v>1507300.0</v>
      </c>
      <c r="U1725" s="1" t="s">
        <v>3161</v>
      </c>
      <c r="V1725" s="1" t="s">
        <v>193</v>
      </c>
      <c r="W1725" s="1" t="s">
        <v>177</v>
      </c>
      <c r="X1725" s="1"/>
      <c r="Y1725" s="1"/>
      <c r="Z1725" s="1" t="s">
        <v>147</v>
      </c>
      <c r="AA1725" s="1"/>
      <c r="AB1725" s="1"/>
      <c r="AC1725" s="1"/>
      <c r="AD1725" s="1" t="s">
        <v>116</v>
      </c>
      <c r="AE1725" s="1"/>
      <c r="AF1725" s="1">
        <v>-51.466946</v>
      </c>
      <c r="AG1725" s="1">
        <v>-5.793611</v>
      </c>
      <c r="AH1725" s="1" t="s">
        <v>7154</v>
      </c>
      <c r="AI1725" s="1"/>
      <c r="AJ1725" s="1" t="s">
        <v>172</v>
      </c>
      <c r="AK1725" s="1"/>
      <c r="AL1725" s="1"/>
      <c r="AM1725" s="1" t="s">
        <v>65</v>
      </c>
      <c r="AN1725" s="1" t="s">
        <v>2164</v>
      </c>
      <c r="AO1725" s="1"/>
      <c r="AP1725" s="2">
        <v>43763.6167824074</v>
      </c>
      <c r="AQ1725" s="1"/>
      <c r="AR1725" s="1"/>
      <c r="AS1725" s="1"/>
      <c r="AT1725" s="2">
        <v>44269.931099537</v>
      </c>
    </row>
    <row r="1726" ht="13.5" customHeight="1">
      <c r="A1726" s="1"/>
      <c r="B1726" s="1" t="s">
        <v>46</v>
      </c>
      <c r="C1726" s="1" t="s">
        <v>657</v>
      </c>
      <c r="D1726" s="1" t="s">
        <v>67</v>
      </c>
      <c r="E1726" s="1" t="s">
        <v>7155</v>
      </c>
      <c r="F1726" s="1"/>
      <c r="G1726" s="1"/>
      <c r="H1726" s="1" t="s">
        <v>93</v>
      </c>
      <c r="I1726" s="1">
        <v>5997.6</v>
      </c>
      <c r="J1726" s="1"/>
      <c r="K1726" s="1"/>
      <c r="L1726" s="1"/>
      <c r="M1726" s="1" t="s">
        <v>7156</v>
      </c>
      <c r="N1726" s="1" t="s">
        <v>142</v>
      </c>
      <c r="O1726" s="1" t="s">
        <v>143</v>
      </c>
      <c r="P1726" s="2">
        <v>43763.5671527778</v>
      </c>
      <c r="Q1726" s="1" t="s">
        <v>55</v>
      </c>
      <c r="R1726" s="1"/>
      <c r="S1726" s="1"/>
      <c r="T1726" s="1">
        <v>2208403.0</v>
      </c>
      <c r="U1726" s="1" t="s">
        <v>7150</v>
      </c>
      <c r="V1726" s="1" t="s">
        <v>895</v>
      </c>
      <c r="W1726" s="1" t="s">
        <v>127</v>
      </c>
      <c r="X1726" s="1"/>
      <c r="Y1726" s="1"/>
      <c r="Z1726" s="1" t="s">
        <v>147</v>
      </c>
      <c r="AA1726" s="1" t="s">
        <v>7157</v>
      </c>
      <c r="AB1726" s="1" t="str">
        <f>"***823150**"</f>
        <v>***823150**</v>
      </c>
      <c r="AC1726" s="1"/>
      <c r="AD1726" s="1" t="s">
        <v>62</v>
      </c>
      <c r="AE1726" s="1"/>
      <c r="AF1726" s="1">
        <v>-41.878334</v>
      </c>
      <c r="AG1726" s="1">
        <v>-4.451111</v>
      </c>
      <c r="AH1726" s="1" t="s">
        <v>7158</v>
      </c>
      <c r="AI1726" s="1"/>
      <c r="AJ1726" s="1" t="s">
        <v>898</v>
      </c>
      <c r="AK1726" s="1"/>
      <c r="AL1726" s="1"/>
      <c r="AM1726" s="1" t="s">
        <v>65</v>
      </c>
      <c r="AN1726" s="1" t="s">
        <v>152</v>
      </c>
      <c r="AO1726" s="1"/>
      <c r="AP1726" s="2">
        <v>43763.6178819445</v>
      </c>
      <c r="AQ1726" s="1"/>
      <c r="AR1726" s="1" t="s">
        <v>360</v>
      </c>
      <c r="AS1726" s="1"/>
      <c r="AT1726" s="2">
        <v>44269.931099537</v>
      </c>
    </row>
    <row r="1727" ht="13.5" customHeight="1">
      <c r="A1727" s="1">
        <v>2034679.0</v>
      </c>
      <c r="B1727" s="1" t="s">
        <v>67</v>
      </c>
      <c r="C1727" s="1" t="s">
        <v>68</v>
      </c>
      <c r="D1727" s="1" t="s">
        <v>46</v>
      </c>
      <c r="E1727" s="1" t="s">
        <v>7159</v>
      </c>
      <c r="F1727" s="1"/>
      <c r="G1727" s="1" t="s">
        <v>70</v>
      </c>
      <c r="H1727" s="1" t="s">
        <v>50</v>
      </c>
      <c r="I1727" s="1">
        <v>4300.0</v>
      </c>
      <c r="J1727" s="1"/>
      <c r="K1727" s="1"/>
      <c r="L1727" s="1" t="s">
        <v>264</v>
      </c>
      <c r="M1727" s="1" t="s">
        <v>7160</v>
      </c>
      <c r="N1727" s="1" t="s">
        <v>53</v>
      </c>
      <c r="O1727" s="1" t="s">
        <v>54</v>
      </c>
      <c r="P1727" s="2">
        <v>43763.5416666667</v>
      </c>
      <c r="Q1727" s="1" t="s">
        <v>74</v>
      </c>
      <c r="R1727" s="3">
        <v>43814.0</v>
      </c>
      <c r="S1727" s="1"/>
      <c r="T1727" s="1">
        <v>4205407.0</v>
      </c>
      <c r="U1727" s="1" t="s">
        <v>1069</v>
      </c>
      <c r="V1727" s="1" t="s">
        <v>267</v>
      </c>
      <c r="W1727" s="1" t="s">
        <v>288</v>
      </c>
      <c r="X1727" s="1"/>
      <c r="Y1727" s="1" t="str">
        <f>"02026004104201949"</f>
        <v>02026004104201949</v>
      </c>
      <c r="Z1727" s="1" t="s">
        <v>60</v>
      </c>
      <c r="AA1727" s="1" t="s">
        <v>7161</v>
      </c>
      <c r="AB1727" s="1" t="str">
        <f>"***603467**"</f>
        <v>***603467**</v>
      </c>
      <c r="AC1727" s="1"/>
      <c r="AD1727" s="1"/>
      <c r="AE1727" s="1"/>
      <c r="AF1727" s="1">
        <v>-48.55722</v>
      </c>
      <c r="AG1727" s="1">
        <v>-27.594168</v>
      </c>
      <c r="AH1727" s="1" t="s">
        <v>7162</v>
      </c>
      <c r="AI1727" s="1"/>
      <c r="AJ1727" s="1" t="s">
        <v>264</v>
      </c>
      <c r="AK1727" s="1"/>
      <c r="AL1727" s="1" t="s">
        <v>79</v>
      </c>
      <c r="AM1727" s="1" t="s">
        <v>65</v>
      </c>
      <c r="AN1727" s="1" t="s">
        <v>152</v>
      </c>
      <c r="AO1727" s="2">
        <v>43889.0</v>
      </c>
      <c r="AP1727" s="2">
        <v>43889.5271296296</v>
      </c>
      <c r="AQ1727" s="1" t="s">
        <v>80</v>
      </c>
      <c r="AR1727" s="1" t="s">
        <v>3772</v>
      </c>
      <c r="AS1727" s="1"/>
      <c r="AT1727" s="2">
        <v>44269.931099537</v>
      </c>
    </row>
    <row r="1728" ht="13.5" customHeight="1">
      <c r="A1728" s="1">
        <v>2035916.0</v>
      </c>
      <c r="B1728" s="1" t="s">
        <v>67</v>
      </c>
      <c r="C1728" s="1" t="s">
        <v>68</v>
      </c>
      <c r="D1728" s="1" t="s">
        <v>46</v>
      </c>
      <c r="E1728" s="1" t="s">
        <v>7163</v>
      </c>
      <c r="F1728" s="1"/>
      <c r="G1728" s="1" t="s">
        <v>70</v>
      </c>
      <c r="H1728" s="1" t="s">
        <v>93</v>
      </c>
      <c r="I1728" s="1">
        <v>4.619E7</v>
      </c>
      <c r="J1728" s="1"/>
      <c r="K1728" s="1"/>
      <c r="L1728" s="1" t="s">
        <v>172</v>
      </c>
      <c r="M1728" s="1" t="s">
        <v>7164</v>
      </c>
      <c r="N1728" s="1" t="s">
        <v>142</v>
      </c>
      <c r="O1728" s="1" t="s">
        <v>143</v>
      </c>
      <c r="P1728" s="2">
        <v>43763.5416666667</v>
      </c>
      <c r="Q1728" s="1" t="s">
        <v>74</v>
      </c>
      <c r="R1728" s="3">
        <v>43801.0</v>
      </c>
      <c r="S1728" s="1"/>
      <c r="T1728" s="1">
        <v>1100205.0</v>
      </c>
      <c r="U1728" s="1" t="s">
        <v>653</v>
      </c>
      <c r="V1728" s="1" t="s">
        <v>448</v>
      </c>
      <c r="W1728" s="1" t="s">
        <v>177</v>
      </c>
      <c r="X1728" s="1"/>
      <c r="Y1728" s="1" t="str">
        <f>"02001009276202021"</f>
        <v>02001009276202021</v>
      </c>
      <c r="Z1728" s="1" t="s">
        <v>147</v>
      </c>
      <c r="AA1728" s="1" t="s">
        <v>6657</v>
      </c>
      <c r="AB1728" s="1" t="str">
        <f>"***391002**"</f>
        <v>***391002**</v>
      </c>
      <c r="AC1728" s="1"/>
      <c r="AD1728" s="1"/>
      <c r="AE1728" s="1"/>
      <c r="AF1728" s="1">
        <v>-65.771393</v>
      </c>
      <c r="AG1728" s="1">
        <v>-9.613611</v>
      </c>
      <c r="AH1728" s="1" t="s">
        <v>7165</v>
      </c>
      <c r="AI1728" s="1"/>
      <c r="AJ1728" s="1" t="s">
        <v>172</v>
      </c>
      <c r="AK1728" s="1"/>
      <c r="AL1728" s="1" t="s">
        <v>79</v>
      </c>
      <c r="AM1728" s="1" t="s">
        <v>65</v>
      </c>
      <c r="AN1728" s="1" t="s">
        <v>6258</v>
      </c>
      <c r="AO1728" s="2">
        <v>43923.0</v>
      </c>
      <c r="AP1728" s="2">
        <v>43923.4335300926</v>
      </c>
      <c r="AQ1728" s="1" t="s">
        <v>80</v>
      </c>
      <c r="AR1728" s="1" t="s">
        <v>6654</v>
      </c>
      <c r="AS1728" s="1"/>
      <c r="AT1728" s="2">
        <v>44269.931099537</v>
      </c>
    </row>
    <row r="1729" ht="13.5" customHeight="1">
      <c r="A1729" s="1">
        <v>2038338.0</v>
      </c>
      <c r="B1729" s="1" t="s">
        <v>67</v>
      </c>
      <c r="C1729" s="1" t="s">
        <v>68</v>
      </c>
      <c r="D1729" s="1" t="s">
        <v>46</v>
      </c>
      <c r="E1729" s="1" t="s">
        <v>7166</v>
      </c>
      <c r="F1729" s="1"/>
      <c r="G1729" s="1" t="s">
        <v>70</v>
      </c>
      <c r="H1729" s="1" t="s">
        <v>93</v>
      </c>
      <c r="I1729" s="1">
        <v>2.3215E7</v>
      </c>
      <c r="J1729" s="1"/>
      <c r="K1729" s="1"/>
      <c r="L1729" s="1" t="s">
        <v>172</v>
      </c>
      <c r="M1729" s="1" t="s">
        <v>220</v>
      </c>
      <c r="N1729" s="1" t="s">
        <v>142</v>
      </c>
      <c r="O1729" s="1" t="s">
        <v>143</v>
      </c>
      <c r="P1729" s="2">
        <v>43763.5416666667</v>
      </c>
      <c r="Q1729" s="1" t="s">
        <v>74</v>
      </c>
      <c r="R1729" s="1"/>
      <c r="S1729" s="1"/>
      <c r="T1729" s="1">
        <v>1100205.0</v>
      </c>
      <c r="U1729" s="1" t="s">
        <v>653</v>
      </c>
      <c r="V1729" s="1" t="s">
        <v>448</v>
      </c>
      <c r="W1729" s="1" t="s">
        <v>177</v>
      </c>
      <c r="X1729" s="1"/>
      <c r="Y1729" s="1" t="str">
        <f>"02001016463202061"</f>
        <v>02001016463202061</v>
      </c>
      <c r="Z1729" s="1" t="s">
        <v>147</v>
      </c>
      <c r="AA1729" s="1" t="s">
        <v>6652</v>
      </c>
      <c r="AB1729" s="1" t="str">
        <f>"77294254001913"</f>
        <v>77294254001913</v>
      </c>
      <c r="AC1729" s="1"/>
      <c r="AD1729" s="1"/>
      <c r="AE1729" s="1"/>
      <c r="AF1729" s="1">
        <v>-64.548332</v>
      </c>
      <c r="AG1729" s="1">
        <v>-9.290001</v>
      </c>
      <c r="AH1729" s="1" t="s">
        <v>7167</v>
      </c>
      <c r="AI1729" s="1"/>
      <c r="AJ1729" s="1" t="s">
        <v>172</v>
      </c>
      <c r="AK1729" s="1"/>
      <c r="AL1729" s="1" t="s">
        <v>79</v>
      </c>
      <c r="AM1729" s="1" t="s">
        <v>65</v>
      </c>
      <c r="AN1729" s="1" t="s">
        <v>6258</v>
      </c>
      <c r="AO1729" s="2">
        <v>44032.0</v>
      </c>
      <c r="AP1729" s="2">
        <v>44032.4151736111</v>
      </c>
      <c r="AQ1729" s="1" t="s">
        <v>80</v>
      </c>
      <c r="AR1729" s="1" t="s">
        <v>6654</v>
      </c>
      <c r="AS1729" s="1"/>
      <c r="AT1729" s="2">
        <v>44269.931099537</v>
      </c>
    </row>
    <row r="1730" ht="13.5" customHeight="1">
      <c r="A1730" s="1">
        <v>2038339.0</v>
      </c>
      <c r="B1730" s="1" t="s">
        <v>67</v>
      </c>
      <c r="C1730" s="1" t="s">
        <v>68</v>
      </c>
      <c r="D1730" s="1" t="s">
        <v>46</v>
      </c>
      <c r="E1730" s="1" t="s">
        <v>7168</v>
      </c>
      <c r="F1730" s="1"/>
      <c r="G1730" s="1" t="s">
        <v>70</v>
      </c>
      <c r="H1730" s="1" t="s">
        <v>93</v>
      </c>
      <c r="I1730" s="1">
        <v>2.3215E7</v>
      </c>
      <c r="J1730" s="1"/>
      <c r="K1730" s="1"/>
      <c r="L1730" s="1" t="s">
        <v>172</v>
      </c>
      <c r="M1730" s="1" t="s">
        <v>7169</v>
      </c>
      <c r="N1730" s="1" t="s">
        <v>142</v>
      </c>
      <c r="O1730" s="1" t="s">
        <v>143</v>
      </c>
      <c r="P1730" s="2">
        <v>43763.5416666667</v>
      </c>
      <c r="Q1730" s="1" t="s">
        <v>74</v>
      </c>
      <c r="R1730" s="3">
        <v>43762.0</v>
      </c>
      <c r="S1730" s="1"/>
      <c r="T1730" s="1">
        <v>1100205.0</v>
      </c>
      <c r="U1730" s="1" t="s">
        <v>653</v>
      </c>
      <c r="V1730" s="1" t="s">
        <v>448</v>
      </c>
      <c r="W1730" s="1" t="s">
        <v>177</v>
      </c>
      <c r="X1730" s="1"/>
      <c r="Y1730" s="1" t="str">
        <f>"02001016465202050"</f>
        <v>02001016465202050</v>
      </c>
      <c r="Z1730" s="1" t="s">
        <v>147</v>
      </c>
      <c r="AA1730" s="1" t="s">
        <v>6657</v>
      </c>
      <c r="AB1730" s="1" t="str">
        <f>"***391002**"</f>
        <v>***391002**</v>
      </c>
      <c r="AC1730" s="1"/>
      <c r="AD1730" s="1"/>
      <c r="AE1730" s="1"/>
      <c r="AF1730" s="1">
        <v>-65.771393</v>
      </c>
      <c r="AG1730" s="1">
        <v>-9.610834</v>
      </c>
      <c r="AH1730" s="1" t="s">
        <v>7170</v>
      </c>
      <c r="AI1730" s="1"/>
      <c r="AJ1730" s="1" t="s">
        <v>172</v>
      </c>
      <c r="AK1730" s="1"/>
      <c r="AL1730" s="1" t="s">
        <v>79</v>
      </c>
      <c r="AM1730" s="1" t="s">
        <v>65</v>
      </c>
      <c r="AN1730" s="1" t="s">
        <v>6258</v>
      </c>
      <c r="AO1730" s="2">
        <v>44032.0</v>
      </c>
      <c r="AP1730" s="2">
        <v>44032.4158333333</v>
      </c>
      <c r="AQ1730" s="1" t="s">
        <v>80</v>
      </c>
      <c r="AR1730" s="1" t="s">
        <v>6654</v>
      </c>
      <c r="AS1730" s="1"/>
      <c r="AT1730" s="2">
        <v>44269.931099537</v>
      </c>
    </row>
    <row r="1731" ht="13.5" customHeight="1">
      <c r="A1731" s="1"/>
      <c r="B1731" s="1" t="s">
        <v>46</v>
      </c>
      <c r="C1731" s="1" t="s">
        <v>47</v>
      </c>
      <c r="D1731" s="1"/>
      <c r="E1731" s="1" t="s">
        <v>7171</v>
      </c>
      <c r="F1731" s="1"/>
      <c r="G1731" s="1"/>
      <c r="H1731" s="1" t="s">
        <v>93</v>
      </c>
      <c r="I1731" s="1">
        <v>1500.0</v>
      </c>
      <c r="J1731" s="1"/>
      <c r="K1731" s="1" t="s">
        <v>51</v>
      </c>
      <c r="L1731" s="1"/>
      <c r="M1731" s="1" t="s">
        <v>7172</v>
      </c>
      <c r="N1731" s="1" t="s">
        <v>977</v>
      </c>
      <c r="O1731" s="1" t="s">
        <v>978</v>
      </c>
      <c r="P1731" s="2">
        <v>43763.5278125</v>
      </c>
      <c r="Q1731" s="1" t="s">
        <v>373</v>
      </c>
      <c r="R1731" s="1"/>
      <c r="S1731" s="1"/>
      <c r="T1731" s="1">
        <v>2611101.0</v>
      </c>
      <c r="U1731" s="1" t="s">
        <v>7173</v>
      </c>
      <c r="V1731" s="1" t="s">
        <v>1037</v>
      </c>
      <c r="W1731" s="1" t="s">
        <v>113</v>
      </c>
      <c r="X1731" s="1"/>
      <c r="Y1731" s="1"/>
      <c r="Z1731" s="1" t="s">
        <v>980</v>
      </c>
      <c r="AA1731" s="1" t="s">
        <v>7174</v>
      </c>
      <c r="AB1731" s="1" t="str">
        <f>"29605997000195"</f>
        <v>29605997000195</v>
      </c>
      <c r="AC1731" s="1"/>
      <c r="AD1731" s="1" t="s">
        <v>62</v>
      </c>
      <c r="AE1731" s="1"/>
      <c r="AF1731" s="1">
        <v>-40.390556</v>
      </c>
      <c r="AG1731" s="1">
        <v>-9.199722</v>
      </c>
      <c r="AH1731" s="1" t="s">
        <v>7175</v>
      </c>
      <c r="AI1731" s="1"/>
      <c r="AJ1731" s="1" t="s">
        <v>628</v>
      </c>
      <c r="AK1731" s="1"/>
      <c r="AL1731" s="1"/>
      <c r="AM1731" s="1"/>
      <c r="AN1731" s="1"/>
      <c r="AO1731" s="1"/>
      <c r="AP1731" s="2">
        <v>43763.7130208333</v>
      </c>
      <c r="AQ1731" s="1"/>
      <c r="AR1731" s="1" t="s">
        <v>7176</v>
      </c>
      <c r="AS1731" s="1"/>
      <c r="AT1731" s="2">
        <v>44269.931099537</v>
      </c>
    </row>
    <row r="1732" ht="13.5" customHeight="1">
      <c r="A1732" s="1">
        <v>2035549.0</v>
      </c>
      <c r="B1732" s="1" t="s">
        <v>67</v>
      </c>
      <c r="C1732" s="1" t="s">
        <v>68</v>
      </c>
      <c r="D1732" s="1" t="s">
        <v>46</v>
      </c>
      <c r="E1732" s="1" t="s">
        <v>7177</v>
      </c>
      <c r="F1732" s="1"/>
      <c r="G1732" s="1" t="s">
        <v>70</v>
      </c>
      <c r="H1732" s="1" t="s">
        <v>93</v>
      </c>
      <c r="I1732" s="1">
        <v>4.625E7</v>
      </c>
      <c r="J1732" s="1"/>
      <c r="K1732" s="1"/>
      <c r="L1732" s="1" t="s">
        <v>172</v>
      </c>
      <c r="M1732" s="1" t="s">
        <v>7178</v>
      </c>
      <c r="N1732" s="1" t="s">
        <v>142</v>
      </c>
      <c r="O1732" s="1" t="s">
        <v>143</v>
      </c>
      <c r="P1732" s="2">
        <v>43763.5</v>
      </c>
      <c r="Q1732" s="1" t="s">
        <v>74</v>
      </c>
      <c r="R1732" s="3">
        <v>43788.0</v>
      </c>
      <c r="S1732" s="1"/>
      <c r="T1732" s="1">
        <v>1100205.0</v>
      </c>
      <c r="U1732" s="1" t="s">
        <v>653</v>
      </c>
      <c r="V1732" s="1" t="s">
        <v>448</v>
      </c>
      <c r="W1732" s="1" t="s">
        <v>177</v>
      </c>
      <c r="X1732" s="1"/>
      <c r="Y1732" s="1" t="str">
        <f>"02001007496202010"</f>
        <v>02001007496202010</v>
      </c>
      <c r="Z1732" s="1" t="s">
        <v>147</v>
      </c>
      <c r="AA1732" s="1" t="s">
        <v>7139</v>
      </c>
      <c r="AB1732" s="1" t="str">
        <f>"77294254006125"</f>
        <v>77294254006125</v>
      </c>
      <c r="AC1732" s="1"/>
      <c r="AD1732" s="1"/>
      <c r="AE1732" s="1"/>
      <c r="AF1732" s="1">
        <v>-65.771393</v>
      </c>
      <c r="AG1732" s="1">
        <v>-9.613611</v>
      </c>
      <c r="AH1732" s="1" t="s">
        <v>7165</v>
      </c>
      <c r="AI1732" s="1"/>
      <c r="AJ1732" s="1" t="s">
        <v>172</v>
      </c>
      <c r="AK1732" s="1"/>
      <c r="AL1732" s="1" t="s">
        <v>79</v>
      </c>
      <c r="AM1732" s="1" t="s">
        <v>65</v>
      </c>
      <c r="AN1732" s="1" t="s">
        <v>6258</v>
      </c>
      <c r="AO1732" s="2">
        <v>43908.0</v>
      </c>
      <c r="AP1732" s="2">
        <v>43908.5699305556</v>
      </c>
      <c r="AQ1732" s="1" t="s">
        <v>80</v>
      </c>
      <c r="AR1732" s="1" t="s">
        <v>6654</v>
      </c>
      <c r="AS1732" s="1"/>
      <c r="AT1732" s="2">
        <v>44269.931099537</v>
      </c>
    </row>
    <row r="1733" ht="13.5" customHeight="1">
      <c r="A1733" s="1">
        <v>2035569.0</v>
      </c>
      <c r="B1733" s="1" t="s">
        <v>67</v>
      </c>
      <c r="C1733" s="1" t="s">
        <v>68</v>
      </c>
      <c r="D1733" s="1" t="s">
        <v>46</v>
      </c>
      <c r="E1733" s="1" t="s">
        <v>7179</v>
      </c>
      <c r="F1733" s="1"/>
      <c r="G1733" s="1" t="s">
        <v>70</v>
      </c>
      <c r="H1733" s="1" t="s">
        <v>93</v>
      </c>
      <c r="I1733" s="1">
        <v>4.619E7</v>
      </c>
      <c r="J1733" s="1"/>
      <c r="K1733" s="1"/>
      <c r="L1733" s="1" t="s">
        <v>172</v>
      </c>
      <c r="M1733" s="1" t="s">
        <v>7180</v>
      </c>
      <c r="N1733" s="1" t="s">
        <v>142</v>
      </c>
      <c r="O1733" s="1" t="s">
        <v>143</v>
      </c>
      <c r="P1733" s="2">
        <v>43763.5</v>
      </c>
      <c r="Q1733" s="1" t="s">
        <v>74</v>
      </c>
      <c r="R1733" s="3">
        <v>43788.0</v>
      </c>
      <c r="S1733" s="1"/>
      <c r="T1733" s="1">
        <v>1100205.0</v>
      </c>
      <c r="U1733" s="1" t="s">
        <v>653</v>
      </c>
      <c r="V1733" s="1" t="s">
        <v>448</v>
      </c>
      <c r="W1733" s="1" t="s">
        <v>177</v>
      </c>
      <c r="X1733" s="1"/>
      <c r="Y1733" s="1" t="str">
        <f>"02001007637202002"</f>
        <v>02001007637202002</v>
      </c>
      <c r="Z1733" s="1" t="s">
        <v>147</v>
      </c>
      <c r="AA1733" s="1" t="s">
        <v>6652</v>
      </c>
      <c r="AB1733" s="1" t="str">
        <f>"77294254001913"</f>
        <v>77294254001913</v>
      </c>
      <c r="AC1733" s="1"/>
      <c r="AD1733" s="1"/>
      <c r="AE1733" s="1"/>
      <c r="AF1733" s="1">
        <v>-65.771393</v>
      </c>
      <c r="AG1733" s="1">
        <v>-9.613611</v>
      </c>
      <c r="AH1733" s="1" t="s">
        <v>7165</v>
      </c>
      <c r="AI1733" s="1"/>
      <c r="AJ1733" s="1" t="s">
        <v>172</v>
      </c>
      <c r="AK1733" s="1"/>
      <c r="AL1733" s="1" t="s">
        <v>79</v>
      </c>
      <c r="AM1733" s="1" t="s">
        <v>65</v>
      </c>
      <c r="AN1733" s="1" t="s">
        <v>6258</v>
      </c>
      <c r="AO1733" s="2">
        <v>43909.0</v>
      </c>
      <c r="AP1733" s="2">
        <v>43909.438900463</v>
      </c>
      <c r="AQ1733" s="1" t="s">
        <v>80</v>
      </c>
      <c r="AR1733" s="1" t="s">
        <v>6654</v>
      </c>
      <c r="AS1733" s="1"/>
      <c r="AT1733" s="2">
        <v>44269.931099537</v>
      </c>
    </row>
    <row r="1734" ht="13.5" customHeight="1">
      <c r="A1734" s="1">
        <v>2035596.0</v>
      </c>
      <c r="B1734" s="1" t="s">
        <v>67</v>
      </c>
      <c r="C1734" s="1" t="s">
        <v>68</v>
      </c>
      <c r="D1734" s="1" t="s">
        <v>46</v>
      </c>
      <c r="E1734" s="1" t="s">
        <v>7181</v>
      </c>
      <c r="F1734" s="1"/>
      <c r="G1734" s="1" t="s">
        <v>70</v>
      </c>
      <c r="H1734" s="1" t="s">
        <v>93</v>
      </c>
      <c r="I1734" s="1">
        <v>5997.6</v>
      </c>
      <c r="J1734" s="1"/>
      <c r="K1734" s="1"/>
      <c r="L1734" s="1" t="s">
        <v>898</v>
      </c>
      <c r="M1734" s="1" t="s">
        <v>7182</v>
      </c>
      <c r="N1734" s="1" t="s">
        <v>142</v>
      </c>
      <c r="O1734" s="1" t="s">
        <v>143</v>
      </c>
      <c r="P1734" s="2">
        <v>43763.5</v>
      </c>
      <c r="Q1734" s="1" t="s">
        <v>55</v>
      </c>
      <c r="R1734" s="3">
        <v>43763.0</v>
      </c>
      <c r="S1734" s="1"/>
      <c r="T1734" s="1">
        <v>2208403.0</v>
      </c>
      <c r="U1734" s="1" t="s">
        <v>7150</v>
      </c>
      <c r="V1734" s="1" t="s">
        <v>895</v>
      </c>
      <c r="W1734" s="1" t="s">
        <v>127</v>
      </c>
      <c r="X1734" s="1"/>
      <c r="Y1734" s="1" t="str">
        <f>"02020000111202065"</f>
        <v>02020000111202065</v>
      </c>
      <c r="Z1734" s="1" t="s">
        <v>147</v>
      </c>
      <c r="AA1734" s="1" t="s">
        <v>7183</v>
      </c>
      <c r="AB1734" s="1" t="str">
        <f>"***823150**"</f>
        <v>***823150**</v>
      </c>
      <c r="AC1734" s="1"/>
      <c r="AD1734" s="1"/>
      <c r="AE1734" s="1"/>
      <c r="AF1734" s="1">
        <v>-41.878334</v>
      </c>
      <c r="AG1734" s="1">
        <v>-4.451111</v>
      </c>
      <c r="AH1734" s="1" t="s">
        <v>7184</v>
      </c>
      <c r="AI1734" s="1"/>
      <c r="AJ1734" s="1" t="s">
        <v>898</v>
      </c>
      <c r="AK1734" s="1"/>
      <c r="AL1734" s="1" t="s">
        <v>79</v>
      </c>
      <c r="AM1734" s="1" t="s">
        <v>65</v>
      </c>
      <c r="AN1734" s="1" t="s">
        <v>152</v>
      </c>
      <c r="AO1734" s="2">
        <v>43909.0</v>
      </c>
      <c r="AP1734" s="2">
        <v>43909.6109722222</v>
      </c>
      <c r="AQ1734" s="1" t="s">
        <v>80</v>
      </c>
      <c r="AR1734" s="1" t="s">
        <v>577</v>
      </c>
      <c r="AS1734" s="1"/>
      <c r="AT1734" s="2">
        <v>44269.931099537</v>
      </c>
    </row>
    <row r="1735" ht="13.5" customHeight="1">
      <c r="A1735" s="1">
        <v>2035852.0</v>
      </c>
      <c r="B1735" s="1" t="s">
        <v>67</v>
      </c>
      <c r="C1735" s="1" t="s">
        <v>68</v>
      </c>
      <c r="D1735" s="1" t="s">
        <v>46</v>
      </c>
      <c r="E1735" s="1" t="s">
        <v>7185</v>
      </c>
      <c r="F1735" s="1"/>
      <c r="G1735" s="1" t="s">
        <v>70</v>
      </c>
      <c r="H1735" s="1" t="s">
        <v>93</v>
      </c>
      <c r="I1735" s="1">
        <v>4.753E7</v>
      </c>
      <c r="J1735" s="1"/>
      <c r="K1735" s="1"/>
      <c r="L1735" s="1" t="s">
        <v>172</v>
      </c>
      <c r="M1735" s="1" t="s">
        <v>7186</v>
      </c>
      <c r="N1735" s="1" t="s">
        <v>142</v>
      </c>
      <c r="O1735" s="1" t="s">
        <v>143</v>
      </c>
      <c r="P1735" s="2">
        <v>43763.5</v>
      </c>
      <c r="Q1735" s="1" t="s">
        <v>74</v>
      </c>
      <c r="R1735" s="3">
        <v>43801.0</v>
      </c>
      <c r="S1735" s="1"/>
      <c r="T1735" s="1">
        <v>1100205.0</v>
      </c>
      <c r="U1735" s="1" t="s">
        <v>653</v>
      </c>
      <c r="V1735" s="1" t="s">
        <v>448</v>
      </c>
      <c r="W1735" s="1" t="s">
        <v>177</v>
      </c>
      <c r="X1735" s="1"/>
      <c r="Y1735" s="1" t="str">
        <f>"02001009055202052"</f>
        <v>02001009055202052</v>
      </c>
      <c r="Z1735" s="1" t="s">
        <v>147</v>
      </c>
      <c r="AA1735" s="1" t="s">
        <v>6657</v>
      </c>
      <c r="AB1735" s="1" t="str">
        <f>"***391002**"</f>
        <v>***391002**</v>
      </c>
      <c r="AC1735" s="1"/>
      <c r="AD1735" s="1"/>
      <c r="AE1735" s="1"/>
      <c r="AF1735" s="1">
        <v>-65.771393</v>
      </c>
      <c r="AG1735" s="1">
        <v>-9.613611</v>
      </c>
      <c r="AH1735" s="1" t="s">
        <v>7187</v>
      </c>
      <c r="AI1735" s="1"/>
      <c r="AJ1735" s="1" t="s">
        <v>172</v>
      </c>
      <c r="AK1735" s="1"/>
      <c r="AL1735" s="1" t="s">
        <v>79</v>
      </c>
      <c r="AM1735" s="1" t="s">
        <v>65</v>
      </c>
      <c r="AN1735" s="1" t="s">
        <v>6258</v>
      </c>
      <c r="AO1735" s="2">
        <v>43921.0</v>
      </c>
      <c r="AP1735" s="2">
        <v>43921.4033449074</v>
      </c>
      <c r="AQ1735" s="1" t="s">
        <v>80</v>
      </c>
      <c r="AR1735" s="1" t="s">
        <v>6654</v>
      </c>
      <c r="AS1735" s="1"/>
      <c r="AT1735" s="2">
        <v>44269.931099537</v>
      </c>
    </row>
    <row r="1736" ht="13.5" customHeight="1">
      <c r="A1736" s="1">
        <v>2035908.0</v>
      </c>
      <c r="B1736" s="1" t="s">
        <v>67</v>
      </c>
      <c r="C1736" s="1" t="s">
        <v>68</v>
      </c>
      <c r="D1736" s="1" t="s">
        <v>46</v>
      </c>
      <c r="E1736" s="1" t="s">
        <v>7188</v>
      </c>
      <c r="F1736" s="1"/>
      <c r="G1736" s="1" t="s">
        <v>70</v>
      </c>
      <c r="H1736" s="1" t="s">
        <v>93</v>
      </c>
      <c r="I1736" s="1">
        <v>1.6825E7</v>
      </c>
      <c r="J1736" s="1"/>
      <c r="K1736" s="1"/>
      <c r="L1736" s="1" t="s">
        <v>172</v>
      </c>
      <c r="M1736" s="1" t="s">
        <v>7189</v>
      </c>
      <c r="N1736" s="1" t="s">
        <v>142</v>
      </c>
      <c r="O1736" s="1" t="s">
        <v>143</v>
      </c>
      <c r="P1736" s="2">
        <v>43763.5</v>
      </c>
      <c r="Q1736" s="1" t="s">
        <v>74</v>
      </c>
      <c r="R1736" s="3">
        <v>43781.0</v>
      </c>
      <c r="S1736" s="1"/>
      <c r="T1736" s="1">
        <v>1100205.0</v>
      </c>
      <c r="U1736" s="1" t="s">
        <v>653</v>
      </c>
      <c r="V1736" s="1" t="s">
        <v>448</v>
      </c>
      <c r="W1736" s="1" t="s">
        <v>177</v>
      </c>
      <c r="X1736" s="1"/>
      <c r="Y1736" s="1" t="str">
        <f>"02001009259202093"</f>
        <v>02001009259202093</v>
      </c>
      <c r="Z1736" s="1" t="s">
        <v>147</v>
      </c>
      <c r="AA1736" s="1" t="s">
        <v>7190</v>
      </c>
      <c r="AB1736" s="1" t="str">
        <f>"84046101056229"</f>
        <v>84046101056229</v>
      </c>
      <c r="AC1736" s="1"/>
      <c r="AD1736" s="1"/>
      <c r="AE1736" s="1"/>
      <c r="AF1736" s="1">
        <v>-65.771393</v>
      </c>
      <c r="AG1736" s="1">
        <v>-9.613611</v>
      </c>
      <c r="AH1736" s="1" t="s">
        <v>7187</v>
      </c>
      <c r="AI1736" s="1"/>
      <c r="AJ1736" s="1" t="s">
        <v>172</v>
      </c>
      <c r="AK1736" s="1"/>
      <c r="AL1736" s="1" t="s">
        <v>79</v>
      </c>
      <c r="AM1736" s="1" t="s">
        <v>65</v>
      </c>
      <c r="AN1736" s="1" t="s">
        <v>6258</v>
      </c>
      <c r="AO1736" s="2">
        <v>43923.0</v>
      </c>
      <c r="AP1736" s="2">
        <v>43923.3915625</v>
      </c>
      <c r="AQ1736" s="1" t="s">
        <v>80</v>
      </c>
      <c r="AR1736" s="1" t="s">
        <v>6654</v>
      </c>
      <c r="AS1736" s="1"/>
      <c r="AT1736" s="2">
        <v>44269.931099537</v>
      </c>
    </row>
    <row r="1737" ht="13.5" customHeight="1">
      <c r="A1737" s="1">
        <v>2035910.0</v>
      </c>
      <c r="B1737" s="1" t="s">
        <v>67</v>
      </c>
      <c r="C1737" s="1" t="s">
        <v>68</v>
      </c>
      <c r="D1737" s="1" t="s">
        <v>46</v>
      </c>
      <c r="E1737" s="1" t="s">
        <v>7191</v>
      </c>
      <c r="F1737" s="1"/>
      <c r="G1737" s="1" t="s">
        <v>70</v>
      </c>
      <c r="H1737" s="1" t="s">
        <v>93</v>
      </c>
      <c r="I1737" s="1">
        <v>1.6825E7</v>
      </c>
      <c r="J1737" s="1"/>
      <c r="K1737" s="1"/>
      <c r="L1737" s="1" t="s">
        <v>172</v>
      </c>
      <c r="M1737" s="1" t="s">
        <v>7192</v>
      </c>
      <c r="N1737" s="1" t="s">
        <v>142</v>
      </c>
      <c r="O1737" s="1" t="s">
        <v>143</v>
      </c>
      <c r="P1737" s="2">
        <v>43763.5</v>
      </c>
      <c r="Q1737" s="1" t="s">
        <v>74</v>
      </c>
      <c r="R1737" s="3">
        <v>43801.0</v>
      </c>
      <c r="S1737" s="1"/>
      <c r="T1737" s="1">
        <v>1100205.0</v>
      </c>
      <c r="U1737" s="1" t="s">
        <v>653</v>
      </c>
      <c r="V1737" s="1" t="s">
        <v>448</v>
      </c>
      <c r="W1737" s="1" t="s">
        <v>177</v>
      </c>
      <c r="X1737" s="1"/>
      <c r="Y1737" s="1" t="str">
        <f>"02001009266202095"</f>
        <v>02001009266202095</v>
      </c>
      <c r="Z1737" s="1" t="s">
        <v>147</v>
      </c>
      <c r="AA1737" s="1" t="s">
        <v>6657</v>
      </c>
      <c r="AB1737" s="1" t="str">
        <f>"***391002**"</f>
        <v>***391002**</v>
      </c>
      <c r="AC1737" s="1"/>
      <c r="AD1737" s="1"/>
      <c r="AE1737" s="1"/>
      <c r="AF1737" s="1">
        <v>-65.771393</v>
      </c>
      <c r="AG1737" s="1">
        <v>-9.613611</v>
      </c>
      <c r="AH1737" s="1" t="s">
        <v>7187</v>
      </c>
      <c r="AI1737" s="1"/>
      <c r="AJ1737" s="1" t="s">
        <v>172</v>
      </c>
      <c r="AK1737" s="1"/>
      <c r="AL1737" s="1" t="s">
        <v>79</v>
      </c>
      <c r="AM1737" s="1" t="s">
        <v>65</v>
      </c>
      <c r="AN1737" s="1" t="s">
        <v>6258</v>
      </c>
      <c r="AO1737" s="2">
        <v>43923.0</v>
      </c>
      <c r="AP1737" s="2">
        <v>43923.413287037</v>
      </c>
      <c r="AQ1737" s="1" t="s">
        <v>80</v>
      </c>
      <c r="AR1737" s="1" t="s">
        <v>6654</v>
      </c>
      <c r="AS1737" s="1"/>
      <c r="AT1737" s="2">
        <v>44269.931099537</v>
      </c>
    </row>
    <row r="1738" ht="13.5" customHeight="1">
      <c r="A1738" s="1">
        <v>2035911.0</v>
      </c>
      <c r="B1738" s="1" t="s">
        <v>67</v>
      </c>
      <c r="C1738" s="1" t="s">
        <v>68</v>
      </c>
      <c r="D1738" s="1" t="s">
        <v>46</v>
      </c>
      <c r="E1738" s="1" t="s">
        <v>7193</v>
      </c>
      <c r="F1738" s="1"/>
      <c r="G1738" s="1" t="s">
        <v>70</v>
      </c>
      <c r="H1738" s="1" t="s">
        <v>93</v>
      </c>
      <c r="I1738" s="1">
        <v>90000.0</v>
      </c>
      <c r="J1738" s="1"/>
      <c r="K1738" s="1"/>
      <c r="L1738" s="1" t="s">
        <v>172</v>
      </c>
      <c r="M1738" s="1" t="s">
        <v>7194</v>
      </c>
      <c r="N1738" s="1" t="s">
        <v>142</v>
      </c>
      <c r="O1738" s="1" t="s">
        <v>143</v>
      </c>
      <c r="P1738" s="2">
        <v>43763.5</v>
      </c>
      <c r="Q1738" s="1" t="s">
        <v>74</v>
      </c>
      <c r="R1738" s="3">
        <v>43763.0</v>
      </c>
      <c r="S1738" s="1"/>
      <c r="T1738" s="1">
        <v>1100205.0</v>
      </c>
      <c r="U1738" s="1" t="s">
        <v>653</v>
      </c>
      <c r="V1738" s="1" t="s">
        <v>448</v>
      </c>
      <c r="W1738" s="1" t="s">
        <v>177</v>
      </c>
      <c r="X1738" s="1"/>
      <c r="Y1738" s="1" t="str">
        <f>"02001009269202029"</f>
        <v>02001009269202029</v>
      </c>
      <c r="Z1738" s="1" t="s">
        <v>147</v>
      </c>
      <c r="AA1738" s="1" t="s">
        <v>7195</v>
      </c>
      <c r="AB1738" s="1" t="str">
        <f>"02916265004157"</f>
        <v>02916265004157</v>
      </c>
      <c r="AC1738" s="1"/>
      <c r="AD1738" s="1"/>
      <c r="AE1738" s="1"/>
      <c r="AF1738" s="1">
        <v>-65.771393</v>
      </c>
      <c r="AG1738" s="1">
        <v>-9.613611</v>
      </c>
      <c r="AH1738" s="1" t="s">
        <v>7196</v>
      </c>
      <c r="AI1738" s="1"/>
      <c r="AJ1738" s="1" t="s">
        <v>172</v>
      </c>
      <c r="AK1738" s="1"/>
      <c r="AL1738" s="1" t="s">
        <v>79</v>
      </c>
      <c r="AM1738" s="1" t="s">
        <v>65</v>
      </c>
      <c r="AN1738" s="1" t="s">
        <v>6258</v>
      </c>
      <c r="AO1738" s="2">
        <v>43923.0</v>
      </c>
      <c r="AP1738" s="2">
        <v>43923.4192708333</v>
      </c>
      <c r="AQ1738" s="1" t="s">
        <v>80</v>
      </c>
      <c r="AR1738" s="1" t="s">
        <v>6654</v>
      </c>
      <c r="AS1738" s="1"/>
      <c r="AT1738" s="2">
        <v>44269.931099537</v>
      </c>
    </row>
    <row r="1739" ht="13.5" customHeight="1">
      <c r="A1739" s="1">
        <v>2035912.0</v>
      </c>
      <c r="B1739" s="1" t="s">
        <v>67</v>
      </c>
      <c r="C1739" s="1" t="s">
        <v>68</v>
      </c>
      <c r="D1739" s="1" t="s">
        <v>46</v>
      </c>
      <c r="E1739" s="1" t="s">
        <v>7197</v>
      </c>
      <c r="F1739" s="1"/>
      <c r="G1739" s="1" t="s">
        <v>70</v>
      </c>
      <c r="H1739" s="1" t="s">
        <v>93</v>
      </c>
      <c r="I1739" s="1">
        <v>90000.0</v>
      </c>
      <c r="J1739" s="1"/>
      <c r="K1739" s="1"/>
      <c r="L1739" s="1" t="s">
        <v>172</v>
      </c>
      <c r="M1739" s="1" t="s">
        <v>7198</v>
      </c>
      <c r="N1739" s="1" t="s">
        <v>142</v>
      </c>
      <c r="O1739" s="1" t="s">
        <v>143</v>
      </c>
      <c r="P1739" s="2">
        <v>43763.5</v>
      </c>
      <c r="Q1739" s="1" t="s">
        <v>74</v>
      </c>
      <c r="R1739" s="3">
        <v>43801.0</v>
      </c>
      <c r="S1739" s="1"/>
      <c r="T1739" s="1">
        <v>1100205.0</v>
      </c>
      <c r="U1739" s="1" t="s">
        <v>653</v>
      </c>
      <c r="V1739" s="1" t="s">
        <v>448</v>
      </c>
      <c r="W1739" s="1" t="s">
        <v>177</v>
      </c>
      <c r="X1739" s="1"/>
      <c r="Y1739" s="1" t="str">
        <f>"02001009272202042"</f>
        <v>02001009272202042</v>
      </c>
      <c r="Z1739" s="1" t="s">
        <v>147</v>
      </c>
      <c r="AA1739" s="1" t="s">
        <v>6657</v>
      </c>
      <c r="AB1739" s="1" t="str">
        <f t="shared" ref="AB1739:AB1740" si="105">"***391002**"</f>
        <v>***391002**</v>
      </c>
      <c r="AC1739" s="1"/>
      <c r="AD1739" s="1"/>
      <c r="AE1739" s="1"/>
      <c r="AF1739" s="1">
        <v>-65.771393</v>
      </c>
      <c r="AG1739" s="1">
        <v>-9.613611</v>
      </c>
      <c r="AH1739" s="1" t="s">
        <v>7187</v>
      </c>
      <c r="AI1739" s="1"/>
      <c r="AJ1739" s="1" t="s">
        <v>172</v>
      </c>
      <c r="AK1739" s="1"/>
      <c r="AL1739" s="1" t="s">
        <v>79</v>
      </c>
      <c r="AM1739" s="1" t="s">
        <v>65</v>
      </c>
      <c r="AN1739" s="1" t="s">
        <v>6258</v>
      </c>
      <c r="AO1739" s="2">
        <v>43923.0</v>
      </c>
      <c r="AP1739" s="2">
        <v>43923.4261226852</v>
      </c>
      <c r="AQ1739" s="1" t="s">
        <v>80</v>
      </c>
      <c r="AR1739" s="1" t="s">
        <v>6654</v>
      </c>
      <c r="AS1739" s="1"/>
      <c r="AT1739" s="2">
        <v>44269.931099537</v>
      </c>
    </row>
    <row r="1740" ht="13.5" customHeight="1">
      <c r="A1740" s="1">
        <v>2035914.0</v>
      </c>
      <c r="B1740" s="1" t="s">
        <v>67</v>
      </c>
      <c r="C1740" s="1" t="s">
        <v>68</v>
      </c>
      <c r="D1740" s="1" t="s">
        <v>46</v>
      </c>
      <c r="E1740" s="1" t="s">
        <v>7199</v>
      </c>
      <c r="F1740" s="1"/>
      <c r="G1740" s="1" t="s">
        <v>70</v>
      </c>
      <c r="H1740" s="1" t="s">
        <v>93</v>
      </c>
      <c r="I1740" s="1">
        <v>4.625E7</v>
      </c>
      <c r="J1740" s="1"/>
      <c r="K1740" s="1"/>
      <c r="L1740" s="1" t="s">
        <v>172</v>
      </c>
      <c r="M1740" s="1" t="s">
        <v>7200</v>
      </c>
      <c r="N1740" s="1" t="s">
        <v>142</v>
      </c>
      <c r="O1740" s="1" t="s">
        <v>143</v>
      </c>
      <c r="P1740" s="2">
        <v>43763.5</v>
      </c>
      <c r="Q1740" s="1" t="s">
        <v>74</v>
      </c>
      <c r="R1740" s="3">
        <v>43801.0</v>
      </c>
      <c r="S1740" s="1"/>
      <c r="T1740" s="1">
        <v>1100205.0</v>
      </c>
      <c r="U1740" s="1" t="s">
        <v>653</v>
      </c>
      <c r="V1740" s="1" t="s">
        <v>448</v>
      </c>
      <c r="W1740" s="1" t="s">
        <v>177</v>
      </c>
      <c r="X1740" s="1"/>
      <c r="Y1740" s="1" t="str">
        <f>"02001009274202031"</f>
        <v>02001009274202031</v>
      </c>
      <c r="Z1740" s="1" t="s">
        <v>147</v>
      </c>
      <c r="AA1740" s="1" t="s">
        <v>6657</v>
      </c>
      <c r="AB1740" s="1" t="str">
        <f t="shared" si="105"/>
        <v>***391002**</v>
      </c>
      <c r="AC1740" s="1"/>
      <c r="AD1740" s="1"/>
      <c r="AE1740" s="1"/>
      <c r="AF1740" s="1">
        <v>-65.771393</v>
      </c>
      <c r="AG1740" s="1">
        <v>-9.613611</v>
      </c>
      <c r="AH1740" s="1" t="s">
        <v>7165</v>
      </c>
      <c r="AI1740" s="1"/>
      <c r="AJ1740" s="1" t="s">
        <v>172</v>
      </c>
      <c r="AK1740" s="1"/>
      <c r="AL1740" s="1" t="s">
        <v>79</v>
      </c>
      <c r="AM1740" s="1" t="s">
        <v>65</v>
      </c>
      <c r="AN1740" s="1" t="s">
        <v>6258</v>
      </c>
      <c r="AO1740" s="2">
        <v>43923.0</v>
      </c>
      <c r="AP1740" s="2">
        <v>43923.4296412037</v>
      </c>
      <c r="AQ1740" s="1" t="s">
        <v>80</v>
      </c>
      <c r="AR1740" s="1" t="s">
        <v>6654</v>
      </c>
      <c r="AS1740" s="1"/>
      <c r="AT1740" s="2">
        <v>44269.931099537</v>
      </c>
    </row>
    <row r="1741" ht="13.5" customHeight="1">
      <c r="A1741" s="1">
        <v>2038355.0</v>
      </c>
      <c r="B1741" s="1" t="s">
        <v>67</v>
      </c>
      <c r="C1741" s="1" t="s">
        <v>68</v>
      </c>
      <c r="D1741" s="1" t="s">
        <v>46</v>
      </c>
      <c r="E1741" s="1" t="s">
        <v>7201</v>
      </c>
      <c r="F1741" s="1"/>
      <c r="G1741" s="1" t="s">
        <v>70</v>
      </c>
      <c r="H1741" s="1" t="s">
        <v>93</v>
      </c>
      <c r="I1741" s="1">
        <v>4.633E7</v>
      </c>
      <c r="J1741" s="1"/>
      <c r="K1741" s="1"/>
      <c r="L1741" s="1" t="s">
        <v>172</v>
      </c>
      <c r="M1741" s="1" t="s">
        <v>7202</v>
      </c>
      <c r="N1741" s="1" t="s">
        <v>142</v>
      </c>
      <c r="O1741" s="1" t="s">
        <v>143</v>
      </c>
      <c r="P1741" s="2">
        <v>43763.5</v>
      </c>
      <c r="Q1741" s="1" t="s">
        <v>74</v>
      </c>
      <c r="R1741" s="1"/>
      <c r="S1741" s="1"/>
      <c r="T1741" s="1">
        <v>1100205.0</v>
      </c>
      <c r="U1741" s="1" t="s">
        <v>653</v>
      </c>
      <c r="V1741" s="1" t="s">
        <v>448</v>
      </c>
      <c r="W1741" s="1" t="s">
        <v>177</v>
      </c>
      <c r="X1741" s="1"/>
      <c r="Y1741" s="1"/>
      <c r="Z1741" s="1" t="s">
        <v>147</v>
      </c>
      <c r="AA1741" s="1" t="s">
        <v>6652</v>
      </c>
      <c r="AB1741" s="1" t="str">
        <f t="shared" ref="AB1741:AB1742" si="106">"77294254001913"</f>
        <v>77294254001913</v>
      </c>
      <c r="AC1741" s="1"/>
      <c r="AD1741" s="1"/>
      <c r="AE1741" s="1"/>
      <c r="AF1741" s="1">
        <v>-64.548332</v>
      </c>
      <c r="AG1741" s="1">
        <v>-9.290001</v>
      </c>
      <c r="AH1741" s="1" t="s">
        <v>7203</v>
      </c>
      <c r="AI1741" s="1"/>
      <c r="AJ1741" s="1" t="s">
        <v>172</v>
      </c>
      <c r="AK1741" s="1"/>
      <c r="AL1741" s="1" t="s">
        <v>79</v>
      </c>
      <c r="AM1741" s="1" t="s">
        <v>65</v>
      </c>
      <c r="AN1741" s="1" t="s">
        <v>6258</v>
      </c>
      <c r="AO1741" s="2">
        <v>44032.0</v>
      </c>
      <c r="AP1741" s="2">
        <v>44032.4287384259</v>
      </c>
      <c r="AQ1741" s="1" t="s">
        <v>80</v>
      </c>
      <c r="AR1741" s="1" t="s">
        <v>6654</v>
      </c>
      <c r="AS1741" s="1"/>
      <c r="AT1741" s="2">
        <v>44269.931099537</v>
      </c>
    </row>
    <row r="1742" ht="13.5" customHeight="1">
      <c r="A1742" s="1"/>
      <c r="B1742" s="1" t="s">
        <v>46</v>
      </c>
      <c r="C1742" s="1" t="s">
        <v>47</v>
      </c>
      <c r="D1742" s="1"/>
      <c r="E1742" s="1" t="s">
        <v>7204</v>
      </c>
      <c r="F1742" s="1"/>
      <c r="G1742" s="1" t="s">
        <v>49</v>
      </c>
      <c r="H1742" s="1" t="s">
        <v>93</v>
      </c>
      <c r="I1742" s="1">
        <v>4.621E7</v>
      </c>
      <c r="J1742" s="1"/>
      <c r="K1742" s="1"/>
      <c r="L1742" s="1"/>
      <c r="M1742" s="1" t="s">
        <v>7205</v>
      </c>
      <c r="N1742" s="1" t="s">
        <v>142</v>
      </c>
      <c r="O1742" s="1" t="s">
        <v>143</v>
      </c>
      <c r="P1742" s="2">
        <v>43763.4741087963</v>
      </c>
      <c r="Q1742" s="1" t="s">
        <v>74</v>
      </c>
      <c r="R1742" s="3">
        <v>43789.0</v>
      </c>
      <c r="S1742" s="1"/>
      <c r="T1742" s="1">
        <v>1100205.0</v>
      </c>
      <c r="U1742" s="1" t="s">
        <v>653</v>
      </c>
      <c r="V1742" s="1" t="s">
        <v>448</v>
      </c>
      <c r="W1742" s="1" t="s">
        <v>177</v>
      </c>
      <c r="X1742" s="1"/>
      <c r="Y1742" s="1"/>
      <c r="Z1742" s="1" t="s">
        <v>147</v>
      </c>
      <c r="AA1742" s="1" t="s">
        <v>7206</v>
      </c>
      <c r="AB1742" s="1" t="str">
        <f t="shared" si="106"/>
        <v>77294254001913</v>
      </c>
      <c r="AC1742" s="1"/>
      <c r="AD1742" s="1" t="s">
        <v>62</v>
      </c>
      <c r="AE1742" s="1"/>
      <c r="AF1742" s="1">
        <v>-65.771389</v>
      </c>
      <c r="AG1742" s="1">
        <v>-9.613611</v>
      </c>
      <c r="AH1742" s="1" t="s">
        <v>7207</v>
      </c>
      <c r="AI1742" s="1"/>
      <c r="AJ1742" s="1" t="s">
        <v>172</v>
      </c>
      <c r="AK1742" s="1"/>
      <c r="AL1742" s="1"/>
      <c r="AM1742" s="1" t="s">
        <v>65</v>
      </c>
      <c r="AN1742" s="1" t="s">
        <v>6258</v>
      </c>
      <c r="AO1742" s="1"/>
      <c r="AP1742" s="2">
        <v>44230.4552083333</v>
      </c>
      <c r="AQ1742" s="1"/>
      <c r="AR1742" s="1" t="s">
        <v>6878</v>
      </c>
      <c r="AS1742" s="1"/>
      <c r="AT1742" s="2">
        <v>44269.931099537</v>
      </c>
    </row>
    <row r="1743" ht="13.5" customHeight="1">
      <c r="A1743" s="1">
        <v>2034710.0</v>
      </c>
      <c r="B1743" s="1" t="s">
        <v>67</v>
      </c>
      <c r="C1743" s="1" t="s">
        <v>68</v>
      </c>
      <c r="D1743" s="1" t="s">
        <v>46</v>
      </c>
      <c r="E1743" s="1" t="s">
        <v>7208</v>
      </c>
      <c r="F1743" s="1"/>
      <c r="G1743" s="1" t="s">
        <v>70</v>
      </c>
      <c r="H1743" s="1" t="s">
        <v>50</v>
      </c>
      <c r="I1743" s="1">
        <v>500.0</v>
      </c>
      <c r="J1743" s="1"/>
      <c r="K1743" s="1"/>
      <c r="L1743" s="1" t="s">
        <v>64</v>
      </c>
      <c r="M1743" s="1" t="s">
        <v>7209</v>
      </c>
      <c r="N1743" s="1" t="s">
        <v>72</v>
      </c>
      <c r="O1743" s="1" t="s">
        <v>73</v>
      </c>
      <c r="P1743" s="2">
        <v>43763.4583333333</v>
      </c>
      <c r="Q1743" s="1" t="s">
        <v>74</v>
      </c>
      <c r="R1743" s="3">
        <v>43762.0</v>
      </c>
      <c r="S1743" s="1"/>
      <c r="T1743" s="1">
        <v>3529005.0</v>
      </c>
      <c r="U1743" s="1" t="s">
        <v>7210</v>
      </c>
      <c r="V1743" s="1" t="s">
        <v>58</v>
      </c>
      <c r="W1743" s="1" t="s">
        <v>59</v>
      </c>
      <c r="X1743" s="1"/>
      <c r="Y1743" s="1" t="str">
        <f>"02027001198202028"</f>
        <v>02027001198202028</v>
      </c>
      <c r="Z1743" s="1" t="s">
        <v>76</v>
      </c>
      <c r="AA1743" s="1" t="s">
        <v>7211</v>
      </c>
      <c r="AB1743" s="1" t="str">
        <f>"***360978**"</f>
        <v>***360978**</v>
      </c>
      <c r="AC1743" s="1"/>
      <c r="AD1743" s="1"/>
      <c r="AE1743" s="1"/>
      <c r="AF1743" s="1">
        <v>-49.931946</v>
      </c>
      <c r="AG1743" s="1">
        <v>-22.188889</v>
      </c>
      <c r="AH1743" s="1" t="s">
        <v>7212</v>
      </c>
      <c r="AI1743" s="1"/>
      <c r="AJ1743" s="1" t="s">
        <v>64</v>
      </c>
      <c r="AK1743" s="1"/>
      <c r="AL1743" s="1" t="s">
        <v>79</v>
      </c>
      <c r="AM1743" s="1" t="s">
        <v>65</v>
      </c>
      <c r="AN1743" s="1"/>
      <c r="AO1743" s="2">
        <v>43889.0</v>
      </c>
      <c r="AP1743" s="2">
        <v>43889.5920486111</v>
      </c>
      <c r="AQ1743" s="1" t="s">
        <v>80</v>
      </c>
      <c r="AR1743" s="1" t="s">
        <v>188</v>
      </c>
      <c r="AS1743" s="1"/>
      <c r="AT1743" s="2">
        <v>44269.931099537</v>
      </c>
    </row>
    <row r="1744" ht="13.5" customHeight="1">
      <c r="A1744" s="1">
        <v>2035804.0</v>
      </c>
      <c r="B1744" s="1" t="s">
        <v>67</v>
      </c>
      <c r="C1744" s="1" t="s">
        <v>68</v>
      </c>
      <c r="D1744" s="1" t="s">
        <v>46</v>
      </c>
      <c r="E1744" s="1" t="s">
        <v>7213</v>
      </c>
      <c r="F1744" s="1"/>
      <c r="G1744" s="1" t="s">
        <v>70</v>
      </c>
      <c r="H1744" s="1" t="s">
        <v>93</v>
      </c>
      <c r="I1744" s="1">
        <v>4.3175E7</v>
      </c>
      <c r="J1744" s="1"/>
      <c r="K1744" s="1"/>
      <c r="L1744" s="1" t="s">
        <v>172</v>
      </c>
      <c r="M1744" s="1" t="s">
        <v>7214</v>
      </c>
      <c r="N1744" s="1" t="s">
        <v>142</v>
      </c>
      <c r="O1744" s="1" t="s">
        <v>143</v>
      </c>
      <c r="P1744" s="2">
        <v>43763.4583333333</v>
      </c>
      <c r="Q1744" s="1" t="s">
        <v>74</v>
      </c>
      <c r="R1744" s="3">
        <v>43801.0</v>
      </c>
      <c r="S1744" s="1"/>
      <c r="T1744" s="1">
        <v>1100205.0</v>
      </c>
      <c r="U1744" s="1" t="s">
        <v>653</v>
      </c>
      <c r="V1744" s="1" t="s">
        <v>448</v>
      </c>
      <c r="W1744" s="1" t="s">
        <v>177</v>
      </c>
      <c r="X1744" s="1"/>
      <c r="Y1744" s="1" t="str">
        <f>"02001008937202009"</f>
        <v>02001008937202009</v>
      </c>
      <c r="Z1744" s="1" t="s">
        <v>147</v>
      </c>
      <c r="AA1744" s="1" t="s">
        <v>6657</v>
      </c>
      <c r="AB1744" s="1" t="str">
        <f t="shared" ref="AB1744:AB1745" si="107">"***391002**"</f>
        <v>***391002**</v>
      </c>
      <c r="AC1744" s="1"/>
      <c r="AD1744" s="1"/>
      <c r="AE1744" s="1"/>
      <c r="AF1744" s="1">
        <v>-65.771393</v>
      </c>
      <c r="AG1744" s="1">
        <v>-9.613611</v>
      </c>
      <c r="AH1744" s="1" t="s">
        <v>7187</v>
      </c>
      <c r="AI1744" s="1"/>
      <c r="AJ1744" s="1" t="s">
        <v>172</v>
      </c>
      <c r="AK1744" s="1"/>
      <c r="AL1744" s="1" t="s">
        <v>79</v>
      </c>
      <c r="AM1744" s="1" t="s">
        <v>65</v>
      </c>
      <c r="AN1744" s="1" t="s">
        <v>6258</v>
      </c>
      <c r="AO1744" s="2">
        <v>43920.0</v>
      </c>
      <c r="AP1744" s="2">
        <v>43920.4839351852</v>
      </c>
      <c r="AQ1744" s="1" t="s">
        <v>80</v>
      </c>
      <c r="AR1744" s="1" t="s">
        <v>6654</v>
      </c>
      <c r="AS1744" s="1"/>
      <c r="AT1744" s="2">
        <v>44269.931099537</v>
      </c>
    </row>
    <row r="1745" ht="13.5" customHeight="1">
      <c r="A1745" s="1">
        <v>2035815.0</v>
      </c>
      <c r="B1745" s="1" t="s">
        <v>67</v>
      </c>
      <c r="C1745" s="1" t="s">
        <v>68</v>
      </c>
      <c r="D1745" s="1" t="s">
        <v>46</v>
      </c>
      <c r="E1745" s="1" t="s">
        <v>7215</v>
      </c>
      <c r="F1745" s="1"/>
      <c r="G1745" s="1" t="s">
        <v>70</v>
      </c>
      <c r="H1745" s="1" t="s">
        <v>93</v>
      </c>
      <c r="I1745" s="1">
        <v>4.751E7</v>
      </c>
      <c r="J1745" s="1"/>
      <c r="K1745" s="1"/>
      <c r="L1745" s="1" t="s">
        <v>172</v>
      </c>
      <c r="M1745" s="1" t="s">
        <v>7216</v>
      </c>
      <c r="N1745" s="1" t="s">
        <v>142</v>
      </c>
      <c r="O1745" s="1" t="s">
        <v>143</v>
      </c>
      <c r="P1745" s="2">
        <v>43763.4583333333</v>
      </c>
      <c r="Q1745" s="1" t="s">
        <v>74</v>
      </c>
      <c r="R1745" s="3">
        <v>43801.0</v>
      </c>
      <c r="S1745" s="1"/>
      <c r="T1745" s="1">
        <v>1100205.0</v>
      </c>
      <c r="U1745" s="1" t="s">
        <v>653</v>
      </c>
      <c r="V1745" s="1" t="s">
        <v>448</v>
      </c>
      <c r="W1745" s="1" t="s">
        <v>177</v>
      </c>
      <c r="X1745" s="1"/>
      <c r="Y1745" s="1" t="str">
        <f>"02001008953202093"</f>
        <v>02001008953202093</v>
      </c>
      <c r="Z1745" s="1" t="s">
        <v>147</v>
      </c>
      <c r="AA1745" s="1" t="s">
        <v>6657</v>
      </c>
      <c r="AB1745" s="1" t="str">
        <f t="shared" si="107"/>
        <v>***391002**</v>
      </c>
      <c r="AC1745" s="1"/>
      <c r="AD1745" s="1"/>
      <c r="AE1745" s="1"/>
      <c r="AF1745" s="1">
        <v>-65.771393</v>
      </c>
      <c r="AG1745" s="1">
        <v>-9.613611</v>
      </c>
      <c r="AH1745" s="1" t="s">
        <v>7187</v>
      </c>
      <c r="AI1745" s="1"/>
      <c r="AJ1745" s="1" t="s">
        <v>172</v>
      </c>
      <c r="AK1745" s="1"/>
      <c r="AL1745" s="1" t="s">
        <v>79</v>
      </c>
      <c r="AM1745" s="1" t="s">
        <v>65</v>
      </c>
      <c r="AN1745" s="1" t="s">
        <v>6258</v>
      </c>
      <c r="AO1745" s="2">
        <v>43920.0</v>
      </c>
      <c r="AP1745" s="2">
        <v>43920.6134722222</v>
      </c>
      <c r="AQ1745" s="1" t="s">
        <v>80</v>
      </c>
      <c r="AR1745" s="1" t="s">
        <v>6654</v>
      </c>
      <c r="AS1745" s="1"/>
      <c r="AT1745" s="2">
        <v>44269.931099537</v>
      </c>
    </row>
    <row r="1746" ht="13.5" customHeight="1">
      <c r="A1746" s="1">
        <v>2035818.0</v>
      </c>
      <c r="B1746" s="1" t="s">
        <v>67</v>
      </c>
      <c r="C1746" s="1" t="s">
        <v>68</v>
      </c>
      <c r="D1746" s="1" t="s">
        <v>46</v>
      </c>
      <c r="E1746" s="1" t="s">
        <v>7217</v>
      </c>
      <c r="F1746" s="1"/>
      <c r="G1746" s="1" t="s">
        <v>70</v>
      </c>
      <c r="H1746" s="1" t="s">
        <v>93</v>
      </c>
      <c r="I1746" s="1">
        <v>4.3175E7</v>
      </c>
      <c r="J1746" s="1"/>
      <c r="K1746" s="1"/>
      <c r="L1746" s="1" t="s">
        <v>172</v>
      </c>
      <c r="M1746" s="1" t="s">
        <v>7218</v>
      </c>
      <c r="N1746" s="1" t="s">
        <v>142</v>
      </c>
      <c r="O1746" s="1" t="s">
        <v>143</v>
      </c>
      <c r="P1746" s="2">
        <v>43763.4583333333</v>
      </c>
      <c r="Q1746" s="1" t="s">
        <v>74</v>
      </c>
      <c r="R1746" s="3">
        <v>43781.0</v>
      </c>
      <c r="S1746" s="1"/>
      <c r="T1746" s="1">
        <v>1100205.0</v>
      </c>
      <c r="U1746" s="1" t="s">
        <v>653</v>
      </c>
      <c r="V1746" s="1" t="s">
        <v>448</v>
      </c>
      <c r="W1746" s="1" t="s">
        <v>177</v>
      </c>
      <c r="X1746" s="1"/>
      <c r="Y1746" s="1" t="str">
        <f>"02001008958202016"</f>
        <v>02001008958202016</v>
      </c>
      <c r="Z1746" s="1" t="s">
        <v>147</v>
      </c>
      <c r="AA1746" s="1" t="s">
        <v>7190</v>
      </c>
      <c r="AB1746" s="1" t="str">
        <f t="shared" ref="AB1746:AB1748" si="108">"84046101056229"</f>
        <v>84046101056229</v>
      </c>
      <c r="AC1746" s="1"/>
      <c r="AD1746" s="1"/>
      <c r="AE1746" s="1"/>
      <c r="AF1746" s="1">
        <v>-65.771393</v>
      </c>
      <c r="AG1746" s="1">
        <v>-9.613611</v>
      </c>
      <c r="AH1746" s="1" t="s">
        <v>7187</v>
      </c>
      <c r="AI1746" s="1"/>
      <c r="AJ1746" s="1" t="s">
        <v>172</v>
      </c>
      <c r="AK1746" s="1"/>
      <c r="AL1746" s="1" t="s">
        <v>79</v>
      </c>
      <c r="AM1746" s="1" t="s">
        <v>65</v>
      </c>
      <c r="AN1746" s="1" t="s">
        <v>6258</v>
      </c>
      <c r="AO1746" s="2">
        <v>43920.0</v>
      </c>
      <c r="AP1746" s="2">
        <v>43920.621412037</v>
      </c>
      <c r="AQ1746" s="1" t="s">
        <v>80</v>
      </c>
      <c r="AR1746" s="1" t="s">
        <v>6654</v>
      </c>
      <c r="AS1746" s="1"/>
      <c r="AT1746" s="2">
        <v>44269.931099537</v>
      </c>
    </row>
    <row r="1747" ht="13.5" customHeight="1">
      <c r="A1747" s="1">
        <v>2035850.0</v>
      </c>
      <c r="B1747" s="1" t="s">
        <v>67</v>
      </c>
      <c r="C1747" s="1" t="s">
        <v>68</v>
      </c>
      <c r="D1747" s="1" t="s">
        <v>46</v>
      </c>
      <c r="E1747" s="1" t="s">
        <v>7219</v>
      </c>
      <c r="F1747" s="1"/>
      <c r="G1747" s="1" t="s">
        <v>70</v>
      </c>
      <c r="H1747" s="1" t="s">
        <v>93</v>
      </c>
      <c r="I1747" s="1">
        <v>4.751E7</v>
      </c>
      <c r="J1747" s="1"/>
      <c r="K1747" s="1"/>
      <c r="L1747" s="1" t="s">
        <v>172</v>
      </c>
      <c r="M1747" s="1" t="s">
        <v>7220</v>
      </c>
      <c r="N1747" s="1" t="s">
        <v>142</v>
      </c>
      <c r="O1747" s="1" t="s">
        <v>143</v>
      </c>
      <c r="P1747" s="2">
        <v>43763.4583333333</v>
      </c>
      <c r="Q1747" s="1" t="s">
        <v>74</v>
      </c>
      <c r="R1747" s="3">
        <v>43781.0</v>
      </c>
      <c r="S1747" s="1"/>
      <c r="T1747" s="1">
        <v>1100205.0</v>
      </c>
      <c r="U1747" s="1" t="s">
        <v>653</v>
      </c>
      <c r="V1747" s="1" t="s">
        <v>448</v>
      </c>
      <c r="W1747" s="1" t="s">
        <v>177</v>
      </c>
      <c r="X1747" s="1"/>
      <c r="Y1747" s="1" t="str">
        <f>"02001009052202019"</f>
        <v>02001009052202019</v>
      </c>
      <c r="Z1747" s="1" t="s">
        <v>147</v>
      </c>
      <c r="AA1747" s="1" t="s">
        <v>7190</v>
      </c>
      <c r="AB1747" s="1" t="str">
        <f t="shared" si="108"/>
        <v>84046101056229</v>
      </c>
      <c r="AC1747" s="1"/>
      <c r="AD1747" s="1"/>
      <c r="AE1747" s="1"/>
      <c r="AF1747" s="1">
        <v>-65.771393</v>
      </c>
      <c r="AG1747" s="1">
        <v>-9.613611</v>
      </c>
      <c r="AH1747" s="1" t="s">
        <v>7187</v>
      </c>
      <c r="AI1747" s="1"/>
      <c r="AJ1747" s="1" t="s">
        <v>172</v>
      </c>
      <c r="AK1747" s="1"/>
      <c r="AL1747" s="1" t="s">
        <v>79</v>
      </c>
      <c r="AM1747" s="1" t="s">
        <v>65</v>
      </c>
      <c r="AN1747" s="1" t="s">
        <v>6258</v>
      </c>
      <c r="AO1747" s="2">
        <v>43921.0</v>
      </c>
      <c r="AP1747" s="2">
        <v>43921.3800347222</v>
      </c>
      <c r="AQ1747" s="1" t="s">
        <v>80</v>
      </c>
      <c r="AR1747" s="1" t="s">
        <v>6654</v>
      </c>
      <c r="AS1747" s="1"/>
      <c r="AT1747" s="2">
        <v>44269.931099537</v>
      </c>
    </row>
    <row r="1748" ht="13.5" customHeight="1">
      <c r="A1748" s="1">
        <v>2035851.0</v>
      </c>
      <c r="B1748" s="1" t="s">
        <v>67</v>
      </c>
      <c r="C1748" s="1" t="s">
        <v>68</v>
      </c>
      <c r="D1748" s="1" t="s">
        <v>46</v>
      </c>
      <c r="E1748" s="1" t="s">
        <v>7221</v>
      </c>
      <c r="F1748" s="1"/>
      <c r="G1748" s="1" t="s">
        <v>70</v>
      </c>
      <c r="H1748" s="1" t="s">
        <v>93</v>
      </c>
      <c r="I1748" s="1">
        <v>4.753E7</v>
      </c>
      <c r="J1748" s="1"/>
      <c r="K1748" s="1"/>
      <c r="L1748" s="1" t="s">
        <v>172</v>
      </c>
      <c r="M1748" s="1" t="s">
        <v>7222</v>
      </c>
      <c r="N1748" s="1" t="s">
        <v>142</v>
      </c>
      <c r="O1748" s="1" t="s">
        <v>143</v>
      </c>
      <c r="P1748" s="2">
        <v>43763.4583333333</v>
      </c>
      <c r="Q1748" s="1" t="s">
        <v>74</v>
      </c>
      <c r="R1748" s="3">
        <v>43781.0</v>
      </c>
      <c r="S1748" s="1"/>
      <c r="T1748" s="1">
        <v>1100205.0</v>
      </c>
      <c r="U1748" s="1" t="s">
        <v>653</v>
      </c>
      <c r="V1748" s="1" t="s">
        <v>448</v>
      </c>
      <c r="W1748" s="1" t="s">
        <v>177</v>
      </c>
      <c r="X1748" s="1"/>
      <c r="Y1748" s="1" t="str">
        <f>"02001009054202016"</f>
        <v>02001009054202016</v>
      </c>
      <c r="Z1748" s="1" t="s">
        <v>147</v>
      </c>
      <c r="AA1748" s="1" t="s">
        <v>7190</v>
      </c>
      <c r="AB1748" s="1" t="str">
        <f t="shared" si="108"/>
        <v>84046101056229</v>
      </c>
      <c r="AC1748" s="1"/>
      <c r="AD1748" s="1"/>
      <c r="AE1748" s="1"/>
      <c r="AF1748" s="1">
        <v>-65.771393</v>
      </c>
      <c r="AG1748" s="1">
        <v>-9.613611</v>
      </c>
      <c r="AH1748" s="1" t="s">
        <v>7187</v>
      </c>
      <c r="AI1748" s="1"/>
      <c r="AJ1748" s="1" t="s">
        <v>172</v>
      </c>
      <c r="AK1748" s="1"/>
      <c r="AL1748" s="1" t="s">
        <v>79</v>
      </c>
      <c r="AM1748" s="1" t="s">
        <v>65</v>
      </c>
      <c r="AN1748" s="1" t="s">
        <v>6258</v>
      </c>
      <c r="AO1748" s="2">
        <v>43921.0</v>
      </c>
      <c r="AP1748" s="2">
        <v>43921.3967361111</v>
      </c>
      <c r="AQ1748" s="1" t="s">
        <v>80</v>
      </c>
      <c r="AR1748" s="1" t="s">
        <v>6654</v>
      </c>
      <c r="AS1748" s="1"/>
      <c r="AT1748" s="2">
        <v>44269.931099537</v>
      </c>
    </row>
    <row r="1749" ht="13.5" customHeight="1">
      <c r="A1749" s="1">
        <v>2038354.0</v>
      </c>
      <c r="B1749" s="1" t="s">
        <v>67</v>
      </c>
      <c r="C1749" s="1" t="s">
        <v>68</v>
      </c>
      <c r="D1749" s="1" t="s">
        <v>46</v>
      </c>
      <c r="E1749" s="1" t="s">
        <v>7223</v>
      </c>
      <c r="F1749" s="1"/>
      <c r="G1749" s="1" t="s">
        <v>70</v>
      </c>
      <c r="H1749" s="1" t="s">
        <v>93</v>
      </c>
      <c r="I1749" s="1">
        <v>4.6625E7</v>
      </c>
      <c r="J1749" s="1"/>
      <c r="K1749" s="1"/>
      <c r="L1749" s="1" t="s">
        <v>65</v>
      </c>
      <c r="M1749" s="1" t="s">
        <v>7224</v>
      </c>
      <c r="N1749" s="1" t="s">
        <v>142</v>
      </c>
      <c r="O1749" s="1" t="s">
        <v>143</v>
      </c>
      <c r="P1749" s="2">
        <v>43763.4583333333</v>
      </c>
      <c r="Q1749" s="1" t="s">
        <v>74</v>
      </c>
      <c r="R1749" s="1"/>
      <c r="S1749" s="1"/>
      <c r="T1749" s="1">
        <v>1100205.0</v>
      </c>
      <c r="U1749" s="1" t="s">
        <v>653</v>
      </c>
      <c r="V1749" s="1" t="s">
        <v>448</v>
      </c>
      <c r="W1749" s="1" t="s">
        <v>177</v>
      </c>
      <c r="X1749" s="1"/>
      <c r="Y1749" s="1" t="str">
        <f>"02024007428201959"</f>
        <v>02024007428201959</v>
      </c>
      <c r="Z1749" s="1" t="s">
        <v>147</v>
      </c>
      <c r="AA1749" s="1" t="s">
        <v>6652</v>
      </c>
      <c r="AB1749" s="1" t="str">
        <f>"77294254001913"</f>
        <v>77294254001913</v>
      </c>
      <c r="AC1749" s="1"/>
      <c r="AD1749" s="1" t="s">
        <v>116</v>
      </c>
      <c r="AE1749" s="1"/>
      <c r="AF1749" s="1">
        <v>-64.548333</v>
      </c>
      <c r="AG1749" s="1">
        <v>-9.29</v>
      </c>
      <c r="AH1749" s="1" t="s">
        <v>7225</v>
      </c>
      <c r="AI1749" s="1"/>
      <c r="AJ1749" s="1" t="s">
        <v>172</v>
      </c>
      <c r="AK1749" s="1" t="s">
        <v>6258</v>
      </c>
      <c r="AL1749" s="1" t="s">
        <v>79</v>
      </c>
      <c r="AM1749" s="1" t="s">
        <v>65</v>
      </c>
      <c r="AN1749" s="1" t="s">
        <v>6258</v>
      </c>
      <c r="AO1749" s="2">
        <v>44032.0</v>
      </c>
      <c r="AP1749" s="2">
        <v>44195.7241203704</v>
      </c>
      <c r="AQ1749" s="1" t="s">
        <v>80</v>
      </c>
      <c r="AR1749" s="1" t="s">
        <v>7226</v>
      </c>
      <c r="AS1749" s="1"/>
      <c r="AT1749" s="2">
        <v>44269.931099537</v>
      </c>
    </row>
    <row r="1750" ht="13.5" customHeight="1">
      <c r="A1750" s="1"/>
      <c r="B1750" s="1" t="s">
        <v>46</v>
      </c>
      <c r="C1750" s="1" t="s">
        <v>47</v>
      </c>
      <c r="D1750" s="1"/>
      <c r="E1750" s="1" t="s">
        <v>7227</v>
      </c>
      <c r="F1750" s="1"/>
      <c r="G1750" s="1" t="s">
        <v>49</v>
      </c>
      <c r="H1750" s="1" t="s">
        <v>93</v>
      </c>
      <c r="I1750" s="1">
        <v>225500.0</v>
      </c>
      <c r="J1750" s="1"/>
      <c r="K1750" s="1"/>
      <c r="L1750" s="1"/>
      <c r="M1750" s="1" t="s">
        <v>7228</v>
      </c>
      <c r="N1750" s="1" t="s">
        <v>142</v>
      </c>
      <c r="O1750" s="1" t="s">
        <v>143</v>
      </c>
      <c r="P1750" s="2">
        <v>43763.4516898148</v>
      </c>
      <c r="Q1750" s="1"/>
      <c r="R1750" s="1"/>
      <c r="S1750" s="1"/>
      <c r="T1750" s="1">
        <v>5003207.0</v>
      </c>
      <c r="U1750" s="1" t="s">
        <v>917</v>
      </c>
      <c r="V1750" s="1" t="s">
        <v>529</v>
      </c>
      <c r="W1750" s="1" t="s">
        <v>59</v>
      </c>
      <c r="X1750" s="1"/>
      <c r="Y1750" s="1"/>
      <c r="Z1750" s="1" t="s">
        <v>147</v>
      </c>
      <c r="AA1750" s="1" t="s">
        <v>7229</v>
      </c>
      <c r="AB1750" s="1" t="str">
        <f>"***907327**"</f>
        <v>***907327**</v>
      </c>
      <c r="AC1750" s="1"/>
      <c r="AD1750" s="1" t="s">
        <v>116</v>
      </c>
      <c r="AE1750" s="1"/>
      <c r="AF1750" s="1">
        <v>-57.291389</v>
      </c>
      <c r="AG1750" s="1">
        <v>-20.133055</v>
      </c>
      <c r="AH1750" s="1" t="s">
        <v>7230</v>
      </c>
      <c r="AI1750" s="1"/>
      <c r="AJ1750" s="1" t="s">
        <v>533</v>
      </c>
      <c r="AK1750" s="1"/>
      <c r="AL1750" s="1"/>
      <c r="AM1750" s="1" t="s">
        <v>65</v>
      </c>
      <c r="AN1750" s="1" t="s">
        <v>534</v>
      </c>
      <c r="AO1750" s="1"/>
      <c r="AP1750" s="2">
        <v>43963.6950462963</v>
      </c>
      <c r="AQ1750" s="1"/>
      <c r="AR1750" s="1" t="s">
        <v>5589</v>
      </c>
      <c r="AS1750" s="1"/>
      <c r="AT1750" s="2">
        <v>44269.931099537</v>
      </c>
    </row>
    <row r="1751" ht="13.5" customHeight="1">
      <c r="A1751" s="1"/>
      <c r="B1751" s="1" t="s">
        <v>46</v>
      </c>
      <c r="C1751" s="1" t="s">
        <v>47</v>
      </c>
      <c r="D1751" s="1"/>
      <c r="E1751" s="1" t="s">
        <v>7231</v>
      </c>
      <c r="F1751" s="1"/>
      <c r="G1751" s="1"/>
      <c r="H1751" s="1" t="s">
        <v>50</v>
      </c>
      <c r="I1751" s="1">
        <v>6500.0</v>
      </c>
      <c r="J1751" s="1"/>
      <c r="K1751" s="1" t="s">
        <v>140</v>
      </c>
      <c r="L1751" s="1"/>
      <c r="M1751" s="1" t="s">
        <v>7232</v>
      </c>
      <c r="N1751" s="1" t="s">
        <v>977</v>
      </c>
      <c r="O1751" s="1" t="s">
        <v>978</v>
      </c>
      <c r="P1751" s="2">
        <v>43763.4347569444</v>
      </c>
      <c r="Q1751" s="1" t="s">
        <v>55</v>
      </c>
      <c r="R1751" s="1"/>
      <c r="S1751" s="1"/>
      <c r="T1751" s="1">
        <v>3518800.0</v>
      </c>
      <c r="U1751" s="1" t="s">
        <v>57</v>
      </c>
      <c r="V1751" s="1" t="s">
        <v>58</v>
      </c>
      <c r="W1751" s="1" t="s">
        <v>59</v>
      </c>
      <c r="X1751" s="1"/>
      <c r="Y1751" s="1"/>
      <c r="Z1751" s="1" t="s">
        <v>980</v>
      </c>
      <c r="AA1751" s="1" t="s">
        <v>7233</v>
      </c>
      <c r="AB1751" s="1" t="str">
        <f>"02290510000176"</f>
        <v>02290510000176</v>
      </c>
      <c r="AC1751" s="1"/>
      <c r="AD1751" s="1" t="s">
        <v>62</v>
      </c>
      <c r="AE1751" s="1"/>
      <c r="AF1751" s="1">
        <v>-46.725834</v>
      </c>
      <c r="AG1751" s="1">
        <v>-23.491388</v>
      </c>
      <c r="AH1751" s="1" t="s">
        <v>7234</v>
      </c>
      <c r="AI1751" s="1"/>
      <c r="AJ1751" s="1" t="s">
        <v>64</v>
      </c>
      <c r="AK1751" s="1"/>
      <c r="AL1751" s="1"/>
      <c r="AM1751" s="1" t="s">
        <v>65</v>
      </c>
      <c r="AN1751" s="1"/>
      <c r="AO1751" s="1"/>
      <c r="AP1751" s="2">
        <v>43763.4473842593</v>
      </c>
      <c r="AQ1751" s="1"/>
      <c r="AR1751" s="1" t="s">
        <v>3544</v>
      </c>
      <c r="AS1751" s="1"/>
      <c r="AT1751" s="2">
        <v>44269.931099537</v>
      </c>
    </row>
    <row r="1752" ht="13.5" customHeight="1">
      <c r="A1752" s="1">
        <v>2035802.0</v>
      </c>
      <c r="B1752" s="1" t="s">
        <v>67</v>
      </c>
      <c r="C1752" s="1" t="s">
        <v>68</v>
      </c>
      <c r="D1752" s="1" t="s">
        <v>46</v>
      </c>
      <c r="E1752" s="1" t="s">
        <v>7235</v>
      </c>
      <c r="F1752" s="1"/>
      <c r="G1752" s="1" t="s">
        <v>70</v>
      </c>
      <c r="H1752" s="1" t="s">
        <v>93</v>
      </c>
      <c r="I1752" s="1">
        <v>4.1075E7</v>
      </c>
      <c r="J1752" s="1"/>
      <c r="K1752" s="1"/>
      <c r="L1752" s="1" t="s">
        <v>172</v>
      </c>
      <c r="M1752" s="1" t="s">
        <v>7236</v>
      </c>
      <c r="N1752" s="1" t="s">
        <v>142</v>
      </c>
      <c r="O1752" s="1" t="s">
        <v>143</v>
      </c>
      <c r="P1752" s="2">
        <v>43763.4166666667</v>
      </c>
      <c r="Q1752" s="1" t="s">
        <v>74</v>
      </c>
      <c r="R1752" s="3">
        <v>43801.0</v>
      </c>
      <c r="S1752" s="1"/>
      <c r="T1752" s="1">
        <v>1100205.0</v>
      </c>
      <c r="U1752" s="1" t="s">
        <v>653</v>
      </c>
      <c r="V1752" s="1" t="s">
        <v>448</v>
      </c>
      <c r="W1752" s="1" t="s">
        <v>177</v>
      </c>
      <c r="X1752" s="1"/>
      <c r="Y1752" s="1" t="str">
        <f>"02001008933202012"</f>
        <v>02001008933202012</v>
      </c>
      <c r="Z1752" s="1" t="s">
        <v>147</v>
      </c>
      <c r="AA1752" s="1" t="s">
        <v>6657</v>
      </c>
      <c r="AB1752" s="1" t="str">
        <f t="shared" ref="AB1752:AB1753" si="109">"***391002**"</f>
        <v>***391002**</v>
      </c>
      <c r="AC1752" s="1"/>
      <c r="AD1752" s="1"/>
      <c r="AE1752" s="1"/>
      <c r="AF1752" s="1">
        <v>-65.771393</v>
      </c>
      <c r="AG1752" s="1">
        <v>-9.613611</v>
      </c>
      <c r="AH1752" s="1" t="s">
        <v>7237</v>
      </c>
      <c r="AI1752" s="1"/>
      <c r="AJ1752" s="1" t="s">
        <v>172</v>
      </c>
      <c r="AK1752" s="1"/>
      <c r="AL1752" s="1" t="s">
        <v>79</v>
      </c>
      <c r="AM1752" s="1" t="s">
        <v>65</v>
      </c>
      <c r="AN1752" s="1" t="s">
        <v>6258</v>
      </c>
      <c r="AO1752" s="2">
        <v>43920.0</v>
      </c>
      <c r="AP1752" s="2">
        <v>43920.4739236111</v>
      </c>
      <c r="AQ1752" s="1" t="s">
        <v>80</v>
      </c>
      <c r="AR1752" s="1" t="s">
        <v>6654</v>
      </c>
      <c r="AS1752" s="1"/>
      <c r="AT1752" s="2">
        <v>44269.931099537</v>
      </c>
    </row>
    <row r="1753" ht="13.5" customHeight="1">
      <c r="A1753" s="1">
        <v>2038340.0</v>
      </c>
      <c r="B1753" s="1" t="s">
        <v>67</v>
      </c>
      <c r="C1753" s="1" t="s">
        <v>68</v>
      </c>
      <c r="D1753" s="1" t="s">
        <v>46</v>
      </c>
      <c r="E1753" s="1" t="s">
        <v>7238</v>
      </c>
      <c r="F1753" s="1"/>
      <c r="G1753" s="1" t="s">
        <v>70</v>
      </c>
      <c r="H1753" s="1" t="s">
        <v>93</v>
      </c>
      <c r="I1753" s="1">
        <v>4.62E7</v>
      </c>
      <c r="J1753" s="1"/>
      <c r="K1753" s="1"/>
      <c r="L1753" s="1" t="s">
        <v>172</v>
      </c>
      <c r="M1753" s="1" t="s">
        <v>7239</v>
      </c>
      <c r="N1753" s="1" t="s">
        <v>142</v>
      </c>
      <c r="O1753" s="1" t="s">
        <v>143</v>
      </c>
      <c r="P1753" s="2">
        <v>43763.4166666667</v>
      </c>
      <c r="Q1753" s="1" t="s">
        <v>74</v>
      </c>
      <c r="R1753" s="3">
        <v>43762.0</v>
      </c>
      <c r="S1753" s="1"/>
      <c r="T1753" s="1">
        <v>1100205.0</v>
      </c>
      <c r="U1753" s="1" t="s">
        <v>653</v>
      </c>
      <c r="V1753" s="1" t="s">
        <v>448</v>
      </c>
      <c r="W1753" s="1" t="s">
        <v>177</v>
      </c>
      <c r="X1753" s="1"/>
      <c r="Y1753" s="1"/>
      <c r="Z1753" s="1" t="s">
        <v>147</v>
      </c>
      <c r="AA1753" s="1" t="s">
        <v>6657</v>
      </c>
      <c r="AB1753" s="1" t="str">
        <f t="shared" si="109"/>
        <v>***391002**</v>
      </c>
      <c r="AC1753" s="1"/>
      <c r="AD1753" s="1"/>
      <c r="AE1753" s="1"/>
      <c r="AF1753" s="1">
        <v>-65.771393</v>
      </c>
      <c r="AG1753" s="1">
        <v>-9.610834</v>
      </c>
      <c r="AH1753" s="1" t="s">
        <v>7240</v>
      </c>
      <c r="AI1753" s="1"/>
      <c r="AJ1753" s="1" t="s">
        <v>172</v>
      </c>
      <c r="AK1753" s="1"/>
      <c r="AL1753" s="1" t="s">
        <v>79</v>
      </c>
      <c r="AM1753" s="1" t="s">
        <v>65</v>
      </c>
      <c r="AN1753" s="1" t="s">
        <v>6258</v>
      </c>
      <c r="AO1753" s="2">
        <v>44032.0</v>
      </c>
      <c r="AP1753" s="2">
        <v>44032.4179398148</v>
      </c>
      <c r="AQ1753" s="1" t="s">
        <v>80</v>
      </c>
      <c r="AR1753" s="1" t="s">
        <v>6654</v>
      </c>
      <c r="AS1753" s="1"/>
      <c r="AT1753" s="2">
        <v>44269.931099537</v>
      </c>
    </row>
    <row r="1754" ht="13.5" customHeight="1">
      <c r="A1754" s="1">
        <v>2039410.0</v>
      </c>
      <c r="B1754" s="1" t="s">
        <v>67</v>
      </c>
      <c r="C1754" s="1" t="s">
        <v>68</v>
      </c>
      <c r="D1754" s="1" t="s">
        <v>46</v>
      </c>
      <c r="E1754" s="1" t="s">
        <v>7241</v>
      </c>
      <c r="F1754" s="1"/>
      <c r="G1754" s="1" t="s">
        <v>70</v>
      </c>
      <c r="H1754" s="1" t="s">
        <v>93</v>
      </c>
      <c r="I1754" s="1">
        <v>24500.0</v>
      </c>
      <c r="J1754" s="1"/>
      <c r="K1754" s="1"/>
      <c r="L1754" s="1" t="s">
        <v>628</v>
      </c>
      <c r="M1754" s="1" t="s">
        <v>7242</v>
      </c>
      <c r="N1754" s="1" t="s">
        <v>95</v>
      </c>
      <c r="O1754" s="1" t="s">
        <v>96</v>
      </c>
      <c r="P1754" s="2">
        <v>43763.4166666667</v>
      </c>
      <c r="Q1754" s="1" t="s">
        <v>373</v>
      </c>
      <c r="R1754" s="3">
        <v>43763.0</v>
      </c>
      <c r="S1754" s="1"/>
      <c r="T1754" s="1">
        <v>2933604.0</v>
      </c>
      <c r="U1754" s="1" t="s">
        <v>7243</v>
      </c>
      <c r="V1754" s="1" t="s">
        <v>632</v>
      </c>
      <c r="W1754" s="1" t="s">
        <v>113</v>
      </c>
      <c r="X1754" s="1"/>
      <c r="Y1754" s="1" t="str">
        <f>"02006001124202030"</f>
        <v>02006001124202030</v>
      </c>
      <c r="Z1754" s="1" t="s">
        <v>98</v>
      </c>
      <c r="AA1754" s="1" t="s">
        <v>7244</v>
      </c>
      <c r="AB1754" s="1" t="str">
        <f>"***554965**"</f>
        <v>***554965**</v>
      </c>
      <c r="AC1754" s="1"/>
      <c r="AD1754" s="1"/>
      <c r="AE1754" s="1"/>
      <c r="AF1754" s="1">
        <v>-42.726112</v>
      </c>
      <c r="AG1754" s="1">
        <v>-10.815278</v>
      </c>
      <c r="AH1754" s="1" t="s">
        <v>7245</v>
      </c>
      <c r="AI1754" s="1"/>
      <c r="AJ1754" s="1" t="s">
        <v>628</v>
      </c>
      <c r="AK1754" s="1"/>
      <c r="AL1754" s="1" t="s">
        <v>79</v>
      </c>
      <c r="AM1754" s="1" t="s">
        <v>65</v>
      </c>
      <c r="AN1754" s="1" t="s">
        <v>152</v>
      </c>
      <c r="AO1754" s="2">
        <v>44061.0</v>
      </c>
      <c r="AP1754" s="2">
        <v>44061.7809953704</v>
      </c>
      <c r="AQ1754" s="1" t="s">
        <v>80</v>
      </c>
      <c r="AR1754" s="1" t="s">
        <v>7246</v>
      </c>
      <c r="AS1754" s="1"/>
      <c r="AT1754" s="2">
        <v>44269.931099537</v>
      </c>
    </row>
    <row r="1755" ht="13.5" customHeight="1">
      <c r="A1755" s="1"/>
      <c r="B1755" s="1" t="s">
        <v>46</v>
      </c>
      <c r="C1755" s="1" t="s">
        <v>47</v>
      </c>
      <c r="D1755" s="1"/>
      <c r="E1755" s="1" t="s">
        <v>7247</v>
      </c>
      <c r="F1755" s="1"/>
      <c r="G1755" s="1" t="s">
        <v>49</v>
      </c>
      <c r="H1755" s="1" t="s">
        <v>93</v>
      </c>
      <c r="I1755" s="1">
        <v>4.6255E7</v>
      </c>
      <c r="J1755" s="1"/>
      <c r="K1755" s="1"/>
      <c r="L1755" s="1"/>
      <c r="M1755" s="1" t="s">
        <v>7248</v>
      </c>
      <c r="N1755" s="1" t="s">
        <v>142</v>
      </c>
      <c r="O1755" s="1" t="s">
        <v>143</v>
      </c>
      <c r="P1755" s="2">
        <v>43763.3984375</v>
      </c>
      <c r="Q1755" s="1" t="s">
        <v>74</v>
      </c>
      <c r="R1755" s="3">
        <v>43780.0</v>
      </c>
      <c r="S1755" s="1"/>
      <c r="T1755" s="1">
        <v>1100205.0</v>
      </c>
      <c r="U1755" s="1" t="s">
        <v>653</v>
      </c>
      <c r="V1755" s="1" t="s">
        <v>448</v>
      </c>
      <c r="W1755" s="1" t="s">
        <v>177</v>
      </c>
      <c r="X1755" s="1"/>
      <c r="Y1755" s="1"/>
      <c r="Z1755" s="1" t="s">
        <v>147</v>
      </c>
      <c r="AA1755" s="1" t="s">
        <v>6657</v>
      </c>
      <c r="AB1755" s="1" t="str">
        <f t="shared" ref="AB1755:AB1757" si="110">"***391002**"</f>
        <v>***391002**</v>
      </c>
      <c r="AC1755" s="1"/>
      <c r="AD1755" s="1" t="s">
        <v>62</v>
      </c>
      <c r="AE1755" s="1"/>
      <c r="AF1755" s="1">
        <v>-65.771393</v>
      </c>
      <c r="AG1755" s="1">
        <v>-9.613611</v>
      </c>
      <c r="AH1755" s="1" t="s">
        <v>7249</v>
      </c>
      <c r="AI1755" s="1"/>
      <c r="AJ1755" s="1" t="s">
        <v>172</v>
      </c>
      <c r="AK1755" s="1"/>
      <c r="AL1755" s="1"/>
      <c r="AM1755" s="1" t="s">
        <v>65</v>
      </c>
      <c r="AN1755" s="1" t="s">
        <v>6258</v>
      </c>
      <c r="AO1755" s="1"/>
      <c r="AP1755" s="2">
        <v>44237.7930671296</v>
      </c>
      <c r="AQ1755" s="1"/>
      <c r="AR1755" s="1" t="s">
        <v>6878</v>
      </c>
      <c r="AS1755" s="1"/>
      <c r="AT1755" s="2">
        <v>44269.931099537</v>
      </c>
    </row>
    <row r="1756" ht="13.5" customHeight="1">
      <c r="A1756" s="1">
        <v>2038356.0</v>
      </c>
      <c r="B1756" s="1" t="s">
        <v>67</v>
      </c>
      <c r="C1756" s="1" t="s">
        <v>68</v>
      </c>
      <c r="D1756" s="1" t="s">
        <v>46</v>
      </c>
      <c r="E1756" s="1" t="s">
        <v>7250</v>
      </c>
      <c r="F1756" s="1"/>
      <c r="G1756" s="1" t="s">
        <v>70</v>
      </c>
      <c r="H1756" s="1" t="s">
        <v>93</v>
      </c>
      <c r="I1756" s="1">
        <v>4.633E7</v>
      </c>
      <c r="J1756" s="1"/>
      <c r="K1756" s="1"/>
      <c r="L1756" s="1" t="s">
        <v>172</v>
      </c>
      <c r="M1756" s="1" t="s">
        <v>7251</v>
      </c>
      <c r="N1756" s="1" t="s">
        <v>142</v>
      </c>
      <c r="O1756" s="1" t="s">
        <v>143</v>
      </c>
      <c r="P1756" s="2">
        <v>43763.375</v>
      </c>
      <c r="Q1756" s="1" t="s">
        <v>74</v>
      </c>
      <c r="R1756" s="1"/>
      <c r="S1756" s="1"/>
      <c r="T1756" s="1">
        <v>1302405.0</v>
      </c>
      <c r="U1756" s="1" t="s">
        <v>2258</v>
      </c>
      <c r="V1756" s="1" t="s">
        <v>486</v>
      </c>
      <c r="W1756" s="1" t="s">
        <v>177</v>
      </c>
      <c r="X1756" s="1"/>
      <c r="Y1756" s="1"/>
      <c r="Z1756" s="1" t="s">
        <v>147</v>
      </c>
      <c r="AA1756" s="1" t="s">
        <v>6657</v>
      </c>
      <c r="AB1756" s="1" t="str">
        <f t="shared" si="110"/>
        <v>***391002**</v>
      </c>
      <c r="AC1756" s="1"/>
      <c r="AD1756" s="1"/>
      <c r="AE1756" s="1"/>
      <c r="AF1756" s="1">
        <v>-65.771393</v>
      </c>
      <c r="AG1756" s="1">
        <v>-9.610834</v>
      </c>
      <c r="AH1756" s="1" t="s">
        <v>7252</v>
      </c>
      <c r="AI1756" s="1"/>
      <c r="AJ1756" s="1" t="s">
        <v>172</v>
      </c>
      <c r="AK1756" s="1"/>
      <c r="AL1756" s="1" t="s">
        <v>79</v>
      </c>
      <c r="AM1756" s="1" t="s">
        <v>65</v>
      </c>
      <c r="AN1756" s="1" t="s">
        <v>6258</v>
      </c>
      <c r="AO1756" s="2">
        <v>44032.0</v>
      </c>
      <c r="AP1756" s="2">
        <v>44032.4290740741</v>
      </c>
      <c r="AQ1756" s="1" t="s">
        <v>80</v>
      </c>
      <c r="AR1756" s="1" t="s">
        <v>6654</v>
      </c>
      <c r="AS1756" s="1"/>
      <c r="AT1756" s="2">
        <v>44269.931099537</v>
      </c>
    </row>
    <row r="1757" ht="13.5" customHeight="1">
      <c r="A1757" s="1"/>
      <c r="B1757" s="1" t="s">
        <v>46</v>
      </c>
      <c r="C1757" s="1" t="s">
        <v>47</v>
      </c>
      <c r="D1757" s="1"/>
      <c r="E1757" s="1" t="s">
        <v>7253</v>
      </c>
      <c r="F1757" s="1"/>
      <c r="G1757" s="1" t="s">
        <v>49</v>
      </c>
      <c r="H1757" s="1" t="s">
        <v>93</v>
      </c>
      <c r="I1757" s="1">
        <v>2.29E7</v>
      </c>
      <c r="J1757" s="1"/>
      <c r="K1757" s="1"/>
      <c r="L1757" s="1"/>
      <c r="M1757" s="1" t="s">
        <v>7254</v>
      </c>
      <c r="N1757" s="1" t="s">
        <v>142</v>
      </c>
      <c r="O1757" s="1" t="s">
        <v>143</v>
      </c>
      <c r="P1757" s="2">
        <v>43763.3655092593</v>
      </c>
      <c r="Q1757" s="1" t="s">
        <v>74</v>
      </c>
      <c r="R1757" s="3">
        <v>43780.0</v>
      </c>
      <c r="S1757" s="1"/>
      <c r="T1757" s="1">
        <v>1100205.0</v>
      </c>
      <c r="U1757" s="1" t="s">
        <v>653</v>
      </c>
      <c r="V1757" s="1" t="s">
        <v>448</v>
      </c>
      <c r="W1757" s="1" t="s">
        <v>177</v>
      </c>
      <c r="X1757" s="1"/>
      <c r="Y1757" s="1"/>
      <c r="Z1757" s="1" t="s">
        <v>147</v>
      </c>
      <c r="AA1757" s="1" t="s">
        <v>6657</v>
      </c>
      <c r="AB1757" s="1" t="str">
        <f t="shared" si="110"/>
        <v>***391002**</v>
      </c>
      <c r="AC1757" s="1"/>
      <c r="AD1757" s="1" t="s">
        <v>62</v>
      </c>
      <c r="AE1757" s="1"/>
      <c r="AF1757" s="1">
        <v>-65.771393</v>
      </c>
      <c r="AG1757" s="1">
        <v>-9.613611</v>
      </c>
      <c r="AH1757" s="1" t="s">
        <v>7255</v>
      </c>
      <c r="AI1757" s="1"/>
      <c r="AJ1757" s="1" t="s">
        <v>172</v>
      </c>
      <c r="AK1757" s="1"/>
      <c r="AL1757" s="1"/>
      <c r="AM1757" s="1" t="s">
        <v>65</v>
      </c>
      <c r="AN1757" s="1" t="s">
        <v>6258</v>
      </c>
      <c r="AO1757" s="1"/>
      <c r="AP1757" s="2">
        <v>44237.7931481481</v>
      </c>
      <c r="AQ1757" s="1"/>
      <c r="AR1757" s="1" t="s">
        <v>6878</v>
      </c>
      <c r="AS1757" s="1"/>
      <c r="AT1757" s="2">
        <v>44269.931099537</v>
      </c>
    </row>
    <row r="1758" ht="13.5" customHeight="1">
      <c r="A1758" s="1"/>
      <c r="B1758" s="1" t="s">
        <v>46</v>
      </c>
      <c r="C1758" s="1" t="s">
        <v>47</v>
      </c>
      <c r="D1758" s="1"/>
      <c r="E1758" s="1" t="s">
        <v>7256</v>
      </c>
      <c r="F1758" s="1"/>
      <c r="G1758" s="1"/>
      <c r="H1758" s="1" t="s">
        <v>93</v>
      </c>
      <c r="I1758" s="1">
        <v>70875.0</v>
      </c>
      <c r="J1758" s="1"/>
      <c r="K1758" s="1"/>
      <c r="L1758" s="1"/>
      <c r="M1758" s="1" t="s">
        <v>7257</v>
      </c>
      <c r="N1758" s="1" t="s">
        <v>142</v>
      </c>
      <c r="O1758" s="1" t="s">
        <v>143</v>
      </c>
      <c r="P1758" s="2">
        <v>43763.3564467593</v>
      </c>
      <c r="Q1758" s="1" t="s">
        <v>74</v>
      </c>
      <c r="R1758" s="1"/>
      <c r="S1758" s="1"/>
      <c r="T1758" s="1">
        <v>4119301.0</v>
      </c>
      <c r="U1758" s="1" t="s">
        <v>5798</v>
      </c>
      <c r="V1758" s="1" t="s">
        <v>176</v>
      </c>
      <c r="W1758" s="1" t="s">
        <v>59</v>
      </c>
      <c r="X1758" s="1"/>
      <c r="Y1758" s="1"/>
      <c r="Z1758" s="1" t="s">
        <v>147</v>
      </c>
      <c r="AA1758" s="1" t="s">
        <v>7258</v>
      </c>
      <c r="AB1758" s="1" t="str">
        <f>"***905329**"</f>
        <v>***905329**</v>
      </c>
      <c r="AC1758" s="1"/>
      <c r="AD1758" s="1" t="s">
        <v>2103</v>
      </c>
      <c r="AE1758" s="1"/>
      <c r="AF1758" s="1">
        <v>-51.546112</v>
      </c>
      <c r="AG1758" s="1">
        <v>-25.932777</v>
      </c>
      <c r="AH1758" s="1" t="s">
        <v>7259</v>
      </c>
      <c r="AI1758" s="1"/>
      <c r="AJ1758" s="1" t="s">
        <v>358</v>
      </c>
      <c r="AK1758" s="1"/>
      <c r="AL1758" s="1"/>
      <c r="AM1758" s="1" t="s">
        <v>65</v>
      </c>
      <c r="AN1758" s="1" t="s">
        <v>1696</v>
      </c>
      <c r="AO1758" s="1"/>
      <c r="AP1758" s="2">
        <v>43769.5468634259</v>
      </c>
      <c r="AQ1758" s="1"/>
      <c r="AR1758" s="1" t="s">
        <v>1794</v>
      </c>
      <c r="AS1758" s="1"/>
      <c r="AT1758" s="2">
        <v>44269.931099537</v>
      </c>
    </row>
    <row r="1759" ht="13.5" customHeight="1">
      <c r="A1759" s="1">
        <v>2038710.0</v>
      </c>
      <c r="B1759" s="1" t="s">
        <v>67</v>
      </c>
      <c r="C1759" s="1" t="s">
        <v>68</v>
      </c>
      <c r="D1759" s="1" t="s">
        <v>46</v>
      </c>
      <c r="E1759" s="1" t="s">
        <v>7260</v>
      </c>
      <c r="F1759" s="1"/>
      <c r="G1759" s="1" t="s">
        <v>70</v>
      </c>
      <c r="H1759" s="1" t="s">
        <v>93</v>
      </c>
      <c r="I1759" s="1">
        <v>3.93E7</v>
      </c>
      <c r="J1759" s="1"/>
      <c r="K1759" s="1"/>
      <c r="L1759" s="1" t="s">
        <v>172</v>
      </c>
      <c r="M1759" s="1" t="s">
        <v>7261</v>
      </c>
      <c r="N1759" s="1" t="s">
        <v>142</v>
      </c>
      <c r="O1759" s="1" t="s">
        <v>143</v>
      </c>
      <c r="P1759" s="2">
        <v>43763.3333333333</v>
      </c>
      <c r="Q1759" s="1" t="s">
        <v>74</v>
      </c>
      <c r="R1759" s="3">
        <v>43788.0</v>
      </c>
      <c r="S1759" s="1"/>
      <c r="T1759" s="1">
        <v>1100205.0</v>
      </c>
      <c r="U1759" s="1" t="s">
        <v>653</v>
      </c>
      <c r="V1759" s="1" t="s">
        <v>448</v>
      </c>
      <c r="W1759" s="1" t="s">
        <v>177</v>
      </c>
      <c r="X1759" s="1"/>
      <c r="Y1759" s="1" t="str">
        <f>"02001017655202094"</f>
        <v>02001017655202094</v>
      </c>
      <c r="Z1759" s="1" t="s">
        <v>147</v>
      </c>
      <c r="AA1759" s="1" t="s">
        <v>6652</v>
      </c>
      <c r="AB1759" s="1" t="str">
        <f>"77294254001913"</f>
        <v>77294254001913</v>
      </c>
      <c r="AC1759" s="1"/>
      <c r="AD1759" s="1"/>
      <c r="AE1759" s="1"/>
      <c r="AF1759" s="1">
        <v>-65.771393</v>
      </c>
      <c r="AG1759" s="1">
        <v>-9.613611</v>
      </c>
      <c r="AH1759" s="1" t="s">
        <v>7262</v>
      </c>
      <c r="AI1759" s="1"/>
      <c r="AJ1759" s="1" t="s">
        <v>172</v>
      </c>
      <c r="AK1759" s="1"/>
      <c r="AL1759" s="1" t="s">
        <v>79</v>
      </c>
      <c r="AM1759" s="1" t="s">
        <v>65</v>
      </c>
      <c r="AN1759" s="1" t="s">
        <v>6258</v>
      </c>
      <c r="AO1759" s="2">
        <v>44046.0</v>
      </c>
      <c r="AP1759" s="2">
        <v>44046.4849768519</v>
      </c>
      <c r="AQ1759" s="1" t="s">
        <v>80</v>
      </c>
      <c r="AR1759" s="1" t="s">
        <v>6654</v>
      </c>
      <c r="AS1759" s="1"/>
      <c r="AT1759" s="2">
        <v>44269.931099537</v>
      </c>
    </row>
    <row r="1760" ht="13.5" customHeight="1">
      <c r="A1760" s="1">
        <v>2038858.0</v>
      </c>
      <c r="B1760" s="1" t="s">
        <v>67</v>
      </c>
      <c r="C1760" s="1" t="s">
        <v>68</v>
      </c>
      <c r="D1760" s="1" t="s">
        <v>46</v>
      </c>
      <c r="E1760" s="1" t="s">
        <v>7263</v>
      </c>
      <c r="F1760" s="1"/>
      <c r="G1760" s="1" t="s">
        <v>70</v>
      </c>
      <c r="H1760" s="1" t="s">
        <v>93</v>
      </c>
      <c r="I1760" s="1">
        <v>3.785E7</v>
      </c>
      <c r="J1760" s="1"/>
      <c r="K1760" s="1"/>
      <c r="L1760" s="1" t="s">
        <v>172</v>
      </c>
      <c r="M1760" s="1" t="s">
        <v>7264</v>
      </c>
      <c r="N1760" s="1" t="s">
        <v>142</v>
      </c>
      <c r="O1760" s="1" t="s">
        <v>143</v>
      </c>
      <c r="P1760" s="2">
        <v>43763.3333333333</v>
      </c>
      <c r="Q1760" s="1" t="s">
        <v>74</v>
      </c>
      <c r="R1760" s="3">
        <v>43801.0</v>
      </c>
      <c r="S1760" s="1"/>
      <c r="T1760" s="1">
        <v>1100205.0</v>
      </c>
      <c r="U1760" s="1" t="s">
        <v>653</v>
      </c>
      <c r="V1760" s="1" t="s">
        <v>448</v>
      </c>
      <c r="W1760" s="1" t="s">
        <v>177</v>
      </c>
      <c r="X1760" s="1"/>
      <c r="Y1760" s="1" t="str">
        <f>"02001017774202047"</f>
        <v>02001017774202047</v>
      </c>
      <c r="Z1760" s="1" t="s">
        <v>147</v>
      </c>
      <c r="AA1760" s="1" t="s">
        <v>6657</v>
      </c>
      <c r="AB1760" s="1" t="str">
        <f>"***391002**"</f>
        <v>***391002**</v>
      </c>
      <c r="AC1760" s="1"/>
      <c r="AD1760" s="1"/>
      <c r="AE1760" s="1"/>
      <c r="AF1760" s="1">
        <v>-65.771393</v>
      </c>
      <c r="AG1760" s="1">
        <v>-9.613611</v>
      </c>
      <c r="AH1760" s="1" t="s">
        <v>7262</v>
      </c>
      <c r="AI1760" s="1"/>
      <c r="AJ1760" s="1" t="s">
        <v>172</v>
      </c>
      <c r="AK1760" s="1"/>
      <c r="AL1760" s="1" t="s">
        <v>79</v>
      </c>
      <c r="AM1760" s="1" t="s">
        <v>65</v>
      </c>
      <c r="AN1760" s="1" t="s">
        <v>6258</v>
      </c>
      <c r="AO1760" s="2">
        <v>44047.0</v>
      </c>
      <c r="AP1760" s="2">
        <v>44047.360787037</v>
      </c>
      <c r="AQ1760" s="1" t="s">
        <v>80</v>
      </c>
      <c r="AR1760" s="1" t="s">
        <v>6654</v>
      </c>
      <c r="AS1760" s="1"/>
      <c r="AT1760" s="2">
        <v>44269.931099537</v>
      </c>
    </row>
    <row r="1761" ht="13.5" customHeight="1">
      <c r="A1761" s="1">
        <v>2039100.0</v>
      </c>
      <c r="B1761" s="1" t="s">
        <v>67</v>
      </c>
      <c r="C1761" s="1" t="s">
        <v>68</v>
      </c>
      <c r="D1761" s="1" t="s">
        <v>46</v>
      </c>
      <c r="E1761" s="1" t="s">
        <v>7265</v>
      </c>
      <c r="F1761" s="1"/>
      <c r="G1761" s="1" t="s">
        <v>70</v>
      </c>
      <c r="H1761" s="1" t="s">
        <v>93</v>
      </c>
      <c r="I1761" s="1">
        <v>46081.94</v>
      </c>
      <c r="J1761" s="1"/>
      <c r="K1761" s="1"/>
      <c r="L1761" s="1" t="s">
        <v>1172</v>
      </c>
      <c r="M1761" s="1" t="s">
        <v>7266</v>
      </c>
      <c r="N1761" s="1" t="s">
        <v>142</v>
      </c>
      <c r="O1761" s="1" t="s">
        <v>143</v>
      </c>
      <c r="P1761" s="2">
        <v>43763.3333333333</v>
      </c>
      <c r="Q1761" s="1" t="s">
        <v>373</v>
      </c>
      <c r="R1761" s="3">
        <v>43763.0</v>
      </c>
      <c r="S1761" s="1"/>
      <c r="T1761" s="1">
        <v>1507300.0</v>
      </c>
      <c r="U1761" s="1" t="s">
        <v>3161</v>
      </c>
      <c r="V1761" s="1" t="s">
        <v>193</v>
      </c>
      <c r="W1761" s="1" t="s">
        <v>177</v>
      </c>
      <c r="X1761" s="1"/>
      <c r="Y1761" s="1"/>
      <c r="Z1761" s="1" t="s">
        <v>147</v>
      </c>
      <c r="AA1761" s="1" t="s">
        <v>7112</v>
      </c>
      <c r="AB1761" s="1" t="str">
        <f>"***282621**"</f>
        <v>***282621**</v>
      </c>
      <c r="AC1761" s="1"/>
      <c r="AD1761" s="1"/>
      <c r="AE1761" s="1"/>
      <c r="AF1761" s="1">
        <v>-51.198334</v>
      </c>
      <c r="AG1761" s="1">
        <v>-5.484444</v>
      </c>
      <c r="AH1761" s="1" t="s">
        <v>7267</v>
      </c>
      <c r="AI1761" s="1"/>
      <c r="AJ1761" s="1" t="s">
        <v>1172</v>
      </c>
      <c r="AK1761" s="1"/>
      <c r="AL1761" s="1" t="s">
        <v>79</v>
      </c>
      <c r="AM1761" s="1" t="s">
        <v>65</v>
      </c>
      <c r="AN1761" s="1" t="s">
        <v>6919</v>
      </c>
      <c r="AO1761" s="2">
        <v>44054.0</v>
      </c>
      <c r="AP1761" s="2">
        <v>44054.6325115741</v>
      </c>
      <c r="AQ1761" s="1" t="s">
        <v>80</v>
      </c>
      <c r="AR1761" s="1" t="s">
        <v>2126</v>
      </c>
      <c r="AS1761" s="1" t="s">
        <v>7131</v>
      </c>
      <c r="AT1761" s="2">
        <v>44269.931099537</v>
      </c>
    </row>
    <row r="1762" ht="13.5" customHeight="1">
      <c r="A1762" s="1">
        <v>2042084.0</v>
      </c>
      <c r="B1762" s="1" t="s">
        <v>67</v>
      </c>
      <c r="C1762" s="1" t="s">
        <v>68</v>
      </c>
      <c r="D1762" s="1" t="s">
        <v>46</v>
      </c>
      <c r="E1762" s="1" t="s">
        <v>7268</v>
      </c>
      <c r="F1762" s="1"/>
      <c r="G1762" s="1" t="s">
        <v>70</v>
      </c>
      <c r="H1762" s="1" t="s">
        <v>93</v>
      </c>
      <c r="I1762" s="1">
        <v>3.785E7</v>
      </c>
      <c r="J1762" s="1"/>
      <c r="K1762" s="1"/>
      <c r="L1762" s="1" t="s">
        <v>172</v>
      </c>
      <c r="M1762" s="1" t="s">
        <v>7269</v>
      </c>
      <c r="N1762" s="1" t="s">
        <v>142</v>
      </c>
      <c r="O1762" s="1" t="s">
        <v>143</v>
      </c>
      <c r="P1762" s="2">
        <v>43763.3333333333</v>
      </c>
      <c r="Q1762" s="1" t="s">
        <v>74</v>
      </c>
      <c r="R1762" s="3">
        <v>43788.0</v>
      </c>
      <c r="S1762" s="1"/>
      <c r="T1762" s="1">
        <v>1100205.0</v>
      </c>
      <c r="U1762" s="1" t="s">
        <v>653</v>
      </c>
      <c r="V1762" s="1" t="s">
        <v>448</v>
      </c>
      <c r="W1762" s="1" t="s">
        <v>177</v>
      </c>
      <c r="X1762" s="1"/>
      <c r="Y1762" s="1" t="str">
        <f>"02001028901202033"</f>
        <v>02001028901202033</v>
      </c>
      <c r="Z1762" s="1" t="s">
        <v>147</v>
      </c>
      <c r="AA1762" s="1" t="s">
        <v>6652</v>
      </c>
      <c r="AB1762" s="1" t="str">
        <f t="shared" ref="AB1762:AB1763" si="111">"77294254001913"</f>
        <v>77294254001913</v>
      </c>
      <c r="AC1762" s="1"/>
      <c r="AD1762" s="1"/>
      <c r="AE1762" s="1"/>
      <c r="AF1762" s="1">
        <v>-65.771393</v>
      </c>
      <c r="AG1762" s="1">
        <v>-9.613611</v>
      </c>
      <c r="AH1762" s="1" t="s">
        <v>7270</v>
      </c>
      <c r="AI1762" s="1"/>
      <c r="AJ1762" s="1" t="s">
        <v>172</v>
      </c>
      <c r="AK1762" s="1"/>
      <c r="AL1762" s="1" t="s">
        <v>79</v>
      </c>
      <c r="AM1762" s="1" t="s">
        <v>65</v>
      </c>
      <c r="AN1762" s="1" t="s">
        <v>6258</v>
      </c>
      <c r="AO1762" s="2">
        <v>44182.0</v>
      </c>
      <c r="AP1762" s="2">
        <v>44182.5724421296</v>
      </c>
      <c r="AQ1762" s="1" t="s">
        <v>80</v>
      </c>
      <c r="AR1762" s="1" t="s">
        <v>6654</v>
      </c>
      <c r="AS1762" s="1"/>
      <c r="AT1762" s="2">
        <v>44269.931099537</v>
      </c>
    </row>
    <row r="1763" ht="13.5" customHeight="1">
      <c r="A1763" s="1">
        <v>2035568.0</v>
      </c>
      <c r="B1763" s="1" t="s">
        <v>67</v>
      </c>
      <c r="C1763" s="1" t="s">
        <v>68</v>
      </c>
      <c r="D1763" s="1" t="s">
        <v>46</v>
      </c>
      <c r="E1763" s="1" t="s">
        <v>7271</v>
      </c>
      <c r="F1763" s="1"/>
      <c r="G1763" s="1" t="s">
        <v>70</v>
      </c>
      <c r="H1763" s="1" t="s">
        <v>93</v>
      </c>
      <c r="I1763" s="1">
        <v>2.335E7</v>
      </c>
      <c r="J1763" s="1"/>
      <c r="K1763" s="1"/>
      <c r="L1763" s="1" t="s">
        <v>172</v>
      </c>
      <c r="M1763" s="1" t="s">
        <v>7272</v>
      </c>
      <c r="N1763" s="1" t="s">
        <v>142</v>
      </c>
      <c r="O1763" s="1" t="s">
        <v>143</v>
      </c>
      <c r="P1763" s="2">
        <v>43763.2916666667</v>
      </c>
      <c r="Q1763" s="1" t="s">
        <v>74</v>
      </c>
      <c r="R1763" s="3">
        <v>43755.0</v>
      </c>
      <c r="S1763" s="1"/>
      <c r="T1763" s="1">
        <v>1100205.0</v>
      </c>
      <c r="U1763" s="1" t="s">
        <v>653</v>
      </c>
      <c r="V1763" s="1" t="s">
        <v>448</v>
      </c>
      <c r="W1763" s="1" t="s">
        <v>177</v>
      </c>
      <c r="X1763" s="1"/>
      <c r="Y1763" s="1" t="str">
        <f>"02001007633202016"</f>
        <v>02001007633202016</v>
      </c>
      <c r="Z1763" s="1" t="s">
        <v>147</v>
      </c>
      <c r="AA1763" s="1" t="s">
        <v>6652</v>
      </c>
      <c r="AB1763" s="1" t="str">
        <f t="shared" si="111"/>
        <v>77294254001913</v>
      </c>
      <c r="AC1763" s="1"/>
      <c r="AD1763" s="1"/>
      <c r="AE1763" s="1"/>
      <c r="AF1763" s="1">
        <v>-65.771393</v>
      </c>
      <c r="AG1763" s="1">
        <v>-9.613611</v>
      </c>
      <c r="AH1763" s="1" t="s">
        <v>7270</v>
      </c>
      <c r="AI1763" s="1"/>
      <c r="AJ1763" s="1" t="s">
        <v>172</v>
      </c>
      <c r="AK1763" s="1"/>
      <c r="AL1763" s="1" t="s">
        <v>79</v>
      </c>
      <c r="AM1763" s="1" t="s">
        <v>65</v>
      </c>
      <c r="AN1763" s="1" t="s">
        <v>6258</v>
      </c>
      <c r="AO1763" s="2">
        <v>43909.0</v>
      </c>
      <c r="AP1763" s="2">
        <v>43909.4341087963</v>
      </c>
      <c r="AQ1763" s="1" t="s">
        <v>80</v>
      </c>
      <c r="AR1763" s="1" t="s">
        <v>6654</v>
      </c>
      <c r="AS1763" s="1"/>
      <c r="AT1763" s="2">
        <v>44269.931099537</v>
      </c>
    </row>
    <row r="1764" ht="13.5" customHeight="1">
      <c r="A1764" s="1">
        <v>2038857.0</v>
      </c>
      <c r="B1764" s="1" t="s">
        <v>67</v>
      </c>
      <c r="C1764" s="1" t="s">
        <v>68</v>
      </c>
      <c r="D1764" s="1" t="s">
        <v>46</v>
      </c>
      <c r="E1764" s="1" t="s">
        <v>7273</v>
      </c>
      <c r="F1764" s="1"/>
      <c r="G1764" s="1" t="s">
        <v>70</v>
      </c>
      <c r="H1764" s="1" t="s">
        <v>93</v>
      </c>
      <c r="I1764" s="1">
        <v>2.35E7</v>
      </c>
      <c r="J1764" s="1"/>
      <c r="K1764" s="1"/>
      <c r="L1764" s="1" t="s">
        <v>172</v>
      </c>
      <c r="M1764" s="1" t="s">
        <v>7274</v>
      </c>
      <c r="N1764" s="1" t="s">
        <v>142</v>
      </c>
      <c r="O1764" s="1" t="s">
        <v>143</v>
      </c>
      <c r="P1764" s="2">
        <v>43763.2916666667</v>
      </c>
      <c r="Q1764" s="1" t="s">
        <v>74</v>
      </c>
      <c r="R1764" s="3">
        <v>43801.0</v>
      </c>
      <c r="S1764" s="1"/>
      <c r="T1764" s="1">
        <v>1100205.0</v>
      </c>
      <c r="U1764" s="1" t="s">
        <v>653</v>
      </c>
      <c r="V1764" s="1" t="s">
        <v>448</v>
      </c>
      <c r="W1764" s="1" t="s">
        <v>177</v>
      </c>
      <c r="X1764" s="1"/>
      <c r="Y1764" s="1" t="str">
        <f>"02001017773202001"</f>
        <v>02001017773202001</v>
      </c>
      <c r="Z1764" s="1" t="s">
        <v>147</v>
      </c>
      <c r="AA1764" s="1" t="s">
        <v>6657</v>
      </c>
      <c r="AB1764" s="1" t="str">
        <f t="shared" ref="AB1764:AB1766" si="112">"***391002**"</f>
        <v>***391002**</v>
      </c>
      <c r="AC1764" s="1"/>
      <c r="AD1764" s="1"/>
      <c r="AE1764" s="1"/>
      <c r="AF1764" s="1">
        <v>-65.771393</v>
      </c>
      <c r="AG1764" s="1">
        <v>-9.613611</v>
      </c>
      <c r="AH1764" s="1" t="s">
        <v>7262</v>
      </c>
      <c r="AI1764" s="1"/>
      <c r="AJ1764" s="1" t="s">
        <v>172</v>
      </c>
      <c r="AK1764" s="1"/>
      <c r="AL1764" s="1" t="s">
        <v>79</v>
      </c>
      <c r="AM1764" s="1" t="s">
        <v>65</v>
      </c>
      <c r="AN1764" s="1" t="s">
        <v>6258</v>
      </c>
      <c r="AO1764" s="2">
        <v>44047.0</v>
      </c>
      <c r="AP1764" s="2">
        <v>44047.3605208333</v>
      </c>
      <c r="AQ1764" s="1" t="s">
        <v>80</v>
      </c>
      <c r="AR1764" s="1" t="s">
        <v>6654</v>
      </c>
      <c r="AS1764" s="1"/>
      <c r="AT1764" s="2">
        <v>44269.931099537</v>
      </c>
    </row>
    <row r="1765" ht="13.5" customHeight="1">
      <c r="A1765" s="1">
        <v>2042083.0</v>
      </c>
      <c r="B1765" s="1" t="s">
        <v>67</v>
      </c>
      <c r="C1765" s="1" t="s">
        <v>68</v>
      </c>
      <c r="D1765" s="1" t="s">
        <v>46</v>
      </c>
      <c r="E1765" s="1" t="s">
        <v>7275</v>
      </c>
      <c r="F1765" s="1"/>
      <c r="G1765" s="1" t="s">
        <v>70</v>
      </c>
      <c r="H1765" s="1" t="s">
        <v>93</v>
      </c>
      <c r="I1765" s="1">
        <v>2.335E7</v>
      </c>
      <c r="J1765" s="1"/>
      <c r="K1765" s="1"/>
      <c r="L1765" s="1" t="s">
        <v>172</v>
      </c>
      <c r="M1765" s="1" t="s">
        <v>7276</v>
      </c>
      <c r="N1765" s="1" t="s">
        <v>142</v>
      </c>
      <c r="O1765" s="1" t="s">
        <v>143</v>
      </c>
      <c r="P1765" s="2">
        <v>43763.2916666667</v>
      </c>
      <c r="Q1765" s="1" t="s">
        <v>74</v>
      </c>
      <c r="R1765" s="3">
        <v>43762.0</v>
      </c>
      <c r="S1765" s="1"/>
      <c r="T1765" s="1">
        <v>1100205.0</v>
      </c>
      <c r="U1765" s="1" t="s">
        <v>653</v>
      </c>
      <c r="V1765" s="1" t="s">
        <v>448</v>
      </c>
      <c r="W1765" s="1" t="s">
        <v>177</v>
      </c>
      <c r="X1765" s="1"/>
      <c r="Y1765" s="1" t="str">
        <f>"02001028900202099"</f>
        <v>02001028900202099</v>
      </c>
      <c r="Z1765" s="1" t="s">
        <v>147</v>
      </c>
      <c r="AA1765" s="1" t="s">
        <v>6657</v>
      </c>
      <c r="AB1765" s="1" t="str">
        <f t="shared" si="112"/>
        <v>***391002**</v>
      </c>
      <c r="AC1765" s="1"/>
      <c r="AD1765" s="1"/>
      <c r="AE1765" s="1"/>
      <c r="AF1765" s="1">
        <v>-65.771393</v>
      </c>
      <c r="AG1765" s="1">
        <v>-9.613611</v>
      </c>
      <c r="AH1765" s="1" t="s">
        <v>7262</v>
      </c>
      <c r="AI1765" s="1"/>
      <c r="AJ1765" s="1" t="s">
        <v>172</v>
      </c>
      <c r="AK1765" s="1"/>
      <c r="AL1765" s="1" t="s">
        <v>79</v>
      </c>
      <c r="AM1765" s="1" t="s">
        <v>65</v>
      </c>
      <c r="AN1765" s="1" t="s">
        <v>6258</v>
      </c>
      <c r="AO1765" s="2">
        <v>44182.0</v>
      </c>
      <c r="AP1765" s="2">
        <v>44182.5720486111</v>
      </c>
      <c r="AQ1765" s="1" t="s">
        <v>80</v>
      </c>
      <c r="AR1765" s="1" t="s">
        <v>6654</v>
      </c>
      <c r="AS1765" s="1"/>
      <c r="AT1765" s="2">
        <v>44269.931099537</v>
      </c>
    </row>
    <row r="1766" ht="13.5" customHeight="1">
      <c r="A1766" s="1">
        <v>2038337.0</v>
      </c>
      <c r="B1766" s="1" t="s">
        <v>67</v>
      </c>
      <c r="C1766" s="1" t="s">
        <v>68</v>
      </c>
      <c r="D1766" s="1" t="s">
        <v>46</v>
      </c>
      <c r="E1766" s="1" t="s">
        <v>7277</v>
      </c>
      <c r="F1766" s="1"/>
      <c r="G1766" s="1" t="s">
        <v>70</v>
      </c>
      <c r="H1766" s="1" t="s">
        <v>93</v>
      </c>
      <c r="I1766" s="1">
        <v>2.325E7</v>
      </c>
      <c r="J1766" s="1"/>
      <c r="K1766" s="1"/>
      <c r="L1766" s="1" t="s">
        <v>172</v>
      </c>
      <c r="M1766" s="1" t="s">
        <v>7278</v>
      </c>
      <c r="N1766" s="1" t="s">
        <v>142</v>
      </c>
      <c r="O1766" s="1" t="s">
        <v>143</v>
      </c>
      <c r="P1766" s="2">
        <v>43763.25</v>
      </c>
      <c r="Q1766" s="1" t="s">
        <v>74</v>
      </c>
      <c r="R1766" s="3">
        <v>43762.0</v>
      </c>
      <c r="S1766" s="1"/>
      <c r="T1766" s="1">
        <v>1100205.0</v>
      </c>
      <c r="U1766" s="1" t="s">
        <v>653</v>
      </c>
      <c r="V1766" s="1" t="s">
        <v>448</v>
      </c>
      <c r="W1766" s="1" t="s">
        <v>177</v>
      </c>
      <c r="X1766" s="1"/>
      <c r="Y1766" s="1" t="str">
        <f>"02001016461202071"</f>
        <v>02001016461202071</v>
      </c>
      <c r="Z1766" s="1" t="s">
        <v>147</v>
      </c>
      <c r="AA1766" s="1" t="s">
        <v>6657</v>
      </c>
      <c r="AB1766" s="1" t="str">
        <f t="shared" si="112"/>
        <v>***391002**</v>
      </c>
      <c r="AC1766" s="1"/>
      <c r="AD1766" s="1"/>
      <c r="AE1766" s="1"/>
      <c r="AF1766" s="1">
        <v>-65.771393</v>
      </c>
      <c r="AG1766" s="1">
        <v>-9.613611</v>
      </c>
      <c r="AH1766" s="1" t="s">
        <v>7279</v>
      </c>
      <c r="AI1766" s="1"/>
      <c r="AJ1766" s="1" t="s">
        <v>172</v>
      </c>
      <c r="AK1766" s="1"/>
      <c r="AL1766" s="1" t="s">
        <v>79</v>
      </c>
      <c r="AM1766" s="1" t="s">
        <v>65</v>
      </c>
      <c r="AN1766" s="1" t="s">
        <v>6258</v>
      </c>
      <c r="AO1766" s="2">
        <v>44032.0</v>
      </c>
      <c r="AP1766" s="2">
        <v>44032.4144097222</v>
      </c>
      <c r="AQ1766" s="1" t="s">
        <v>80</v>
      </c>
      <c r="AR1766" s="1" t="s">
        <v>6654</v>
      </c>
      <c r="AS1766" s="1"/>
      <c r="AT1766" s="2">
        <v>44269.931099537</v>
      </c>
    </row>
    <row r="1767" ht="13.5" customHeight="1">
      <c r="A1767" s="1">
        <v>2038855.0</v>
      </c>
      <c r="B1767" s="1" t="s">
        <v>67</v>
      </c>
      <c r="C1767" s="1" t="s">
        <v>68</v>
      </c>
      <c r="D1767" s="1" t="s">
        <v>46</v>
      </c>
      <c r="E1767" s="1" t="s">
        <v>7280</v>
      </c>
      <c r="F1767" s="1"/>
      <c r="G1767" s="1" t="s">
        <v>70</v>
      </c>
      <c r="H1767" s="1" t="s">
        <v>93</v>
      </c>
      <c r="I1767" s="1">
        <v>2.325E7</v>
      </c>
      <c r="J1767" s="1"/>
      <c r="K1767" s="1"/>
      <c r="L1767" s="1" t="s">
        <v>172</v>
      </c>
      <c r="M1767" s="1" t="s">
        <v>7281</v>
      </c>
      <c r="N1767" s="1" t="s">
        <v>142</v>
      </c>
      <c r="O1767" s="1" t="s">
        <v>143</v>
      </c>
      <c r="P1767" s="2">
        <v>43763.25</v>
      </c>
      <c r="Q1767" s="1" t="s">
        <v>74</v>
      </c>
      <c r="R1767" s="3">
        <v>43788.0</v>
      </c>
      <c r="S1767" s="1"/>
      <c r="T1767" s="1">
        <v>1100205.0</v>
      </c>
      <c r="U1767" s="1" t="s">
        <v>653</v>
      </c>
      <c r="V1767" s="1" t="s">
        <v>448</v>
      </c>
      <c r="W1767" s="1" t="s">
        <v>177</v>
      </c>
      <c r="X1767" s="1"/>
      <c r="Y1767" s="1" t="str">
        <f>"02001017771202011"</f>
        <v>02001017771202011</v>
      </c>
      <c r="Z1767" s="1" t="s">
        <v>147</v>
      </c>
      <c r="AA1767" s="1" t="s">
        <v>6652</v>
      </c>
      <c r="AB1767" s="1" t="str">
        <f t="shared" ref="AB1767:AB1768" si="113">"77294254001913"</f>
        <v>77294254001913</v>
      </c>
      <c r="AC1767" s="1"/>
      <c r="AD1767" s="1"/>
      <c r="AE1767" s="1"/>
      <c r="AF1767" s="1">
        <v>-65.771393</v>
      </c>
      <c r="AG1767" s="1">
        <v>-9.613611</v>
      </c>
      <c r="AH1767" s="1" t="s">
        <v>7282</v>
      </c>
      <c r="AI1767" s="1"/>
      <c r="AJ1767" s="1" t="s">
        <v>172</v>
      </c>
      <c r="AK1767" s="1"/>
      <c r="AL1767" s="1" t="s">
        <v>79</v>
      </c>
      <c r="AM1767" s="1" t="s">
        <v>65</v>
      </c>
      <c r="AN1767" s="1" t="s">
        <v>6258</v>
      </c>
      <c r="AO1767" s="2">
        <v>44047.0</v>
      </c>
      <c r="AP1767" s="2">
        <v>44047.3599537037</v>
      </c>
      <c r="AQ1767" s="1" t="s">
        <v>80</v>
      </c>
      <c r="AR1767" s="1" t="s">
        <v>6654</v>
      </c>
      <c r="AS1767" s="1"/>
      <c r="AT1767" s="2">
        <v>44269.931099537</v>
      </c>
    </row>
    <row r="1768" ht="13.5" customHeight="1">
      <c r="A1768" s="1">
        <v>2038856.0</v>
      </c>
      <c r="B1768" s="1" t="s">
        <v>67</v>
      </c>
      <c r="C1768" s="1" t="s">
        <v>68</v>
      </c>
      <c r="D1768" s="1" t="s">
        <v>46</v>
      </c>
      <c r="E1768" s="1" t="s">
        <v>7283</v>
      </c>
      <c r="F1768" s="1"/>
      <c r="G1768" s="1" t="s">
        <v>70</v>
      </c>
      <c r="H1768" s="1" t="s">
        <v>93</v>
      </c>
      <c r="I1768" s="1">
        <v>2.325E7</v>
      </c>
      <c r="J1768" s="1"/>
      <c r="K1768" s="1"/>
      <c r="L1768" s="1" t="s">
        <v>172</v>
      </c>
      <c r="M1768" s="1" t="s">
        <v>7284</v>
      </c>
      <c r="N1768" s="1" t="s">
        <v>142</v>
      </c>
      <c r="O1768" s="1" t="s">
        <v>143</v>
      </c>
      <c r="P1768" s="2">
        <v>43763.25</v>
      </c>
      <c r="Q1768" s="1" t="s">
        <v>74</v>
      </c>
      <c r="R1768" s="3">
        <v>43788.0</v>
      </c>
      <c r="S1768" s="1"/>
      <c r="T1768" s="1">
        <v>1100205.0</v>
      </c>
      <c r="U1768" s="1" t="s">
        <v>653</v>
      </c>
      <c r="V1768" s="1" t="s">
        <v>448</v>
      </c>
      <c r="W1768" s="1" t="s">
        <v>177</v>
      </c>
      <c r="X1768" s="1"/>
      <c r="Y1768" s="1" t="str">
        <f>"02001017772202058"</f>
        <v>02001017772202058</v>
      </c>
      <c r="Z1768" s="1" t="s">
        <v>147</v>
      </c>
      <c r="AA1768" s="1" t="s">
        <v>6652</v>
      </c>
      <c r="AB1768" s="1" t="str">
        <f t="shared" si="113"/>
        <v>77294254001913</v>
      </c>
      <c r="AC1768" s="1"/>
      <c r="AD1768" s="1"/>
      <c r="AE1768" s="1"/>
      <c r="AF1768" s="1">
        <v>-65.771393</v>
      </c>
      <c r="AG1768" s="1">
        <v>-9.613611</v>
      </c>
      <c r="AH1768" s="1" t="s">
        <v>7270</v>
      </c>
      <c r="AI1768" s="1"/>
      <c r="AJ1768" s="1" t="s">
        <v>172</v>
      </c>
      <c r="AK1768" s="1"/>
      <c r="AL1768" s="1" t="s">
        <v>79</v>
      </c>
      <c r="AM1768" s="1" t="s">
        <v>65</v>
      </c>
      <c r="AN1768" s="1" t="s">
        <v>6258</v>
      </c>
      <c r="AO1768" s="2">
        <v>44047.0</v>
      </c>
      <c r="AP1768" s="2">
        <v>44047.3602314815</v>
      </c>
      <c r="AQ1768" s="1" t="s">
        <v>80</v>
      </c>
      <c r="AR1768" s="1" t="s">
        <v>6654</v>
      </c>
      <c r="AS1768" s="1"/>
      <c r="AT1768" s="2">
        <v>44269.931099537</v>
      </c>
    </row>
    <row r="1769" ht="13.5" customHeight="1">
      <c r="A1769" s="1">
        <v>2037598.0</v>
      </c>
      <c r="B1769" s="1" t="s">
        <v>67</v>
      </c>
      <c r="C1769" s="1" t="s">
        <v>68</v>
      </c>
      <c r="D1769" s="1" t="s">
        <v>46</v>
      </c>
      <c r="E1769" s="1" t="s">
        <v>7285</v>
      </c>
      <c r="F1769" s="1"/>
      <c r="G1769" s="1" t="s">
        <v>70</v>
      </c>
      <c r="H1769" s="1" t="s">
        <v>93</v>
      </c>
      <c r="I1769" s="1">
        <v>35000.0</v>
      </c>
      <c r="J1769" s="1"/>
      <c r="K1769" s="1"/>
      <c r="L1769" s="1" t="s">
        <v>533</v>
      </c>
      <c r="M1769" s="1" t="s">
        <v>7286</v>
      </c>
      <c r="N1769" s="1" t="s">
        <v>95</v>
      </c>
      <c r="O1769" s="1" t="s">
        <v>96</v>
      </c>
      <c r="P1769" s="2">
        <v>43763.0</v>
      </c>
      <c r="Q1769" s="1" t="s">
        <v>373</v>
      </c>
      <c r="R1769" s="3">
        <v>43763.0</v>
      </c>
      <c r="S1769" s="1"/>
      <c r="T1769" s="1">
        <v>5004700.0</v>
      </c>
      <c r="U1769" s="1" t="s">
        <v>7287</v>
      </c>
      <c r="V1769" s="1" t="s">
        <v>529</v>
      </c>
      <c r="W1769" s="1" t="s">
        <v>59</v>
      </c>
      <c r="X1769" s="1"/>
      <c r="Y1769" s="1" t="str">
        <f>"02014003365201981"</f>
        <v>02014003365201981</v>
      </c>
      <c r="Z1769" s="1" t="s">
        <v>98</v>
      </c>
      <c r="AA1769" s="1" t="s">
        <v>7288</v>
      </c>
      <c r="AB1769" s="1" t="str">
        <f>"***282611**"</f>
        <v>***282611**</v>
      </c>
      <c r="AC1769" s="1"/>
      <c r="AD1769" s="1"/>
      <c r="AE1769" s="1"/>
      <c r="AF1769" s="1">
        <v>-53.828331</v>
      </c>
      <c r="AG1769" s="1">
        <v>-22.308887</v>
      </c>
      <c r="AH1769" s="1" t="s">
        <v>7289</v>
      </c>
      <c r="AI1769" s="1"/>
      <c r="AJ1769" s="1" t="s">
        <v>533</v>
      </c>
      <c r="AK1769" s="1"/>
      <c r="AL1769" s="1" t="s">
        <v>79</v>
      </c>
      <c r="AM1769" s="1" t="s">
        <v>65</v>
      </c>
      <c r="AN1769" s="1" t="s">
        <v>7290</v>
      </c>
      <c r="AO1769" s="2">
        <v>44004.0</v>
      </c>
      <c r="AP1769" s="2">
        <v>44004.4666666667</v>
      </c>
      <c r="AQ1769" s="1" t="s">
        <v>80</v>
      </c>
      <c r="AR1769" s="1" t="s">
        <v>7291</v>
      </c>
      <c r="AS1769" s="1"/>
      <c r="AT1769" s="2">
        <v>44269.931099537</v>
      </c>
    </row>
    <row r="1770" ht="13.5" customHeight="1">
      <c r="A1770" s="1"/>
      <c r="B1770" s="1" t="s">
        <v>46</v>
      </c>
      <c r="C1770" s="1" t="s">
        <v>47</v>
      </c>
      <c r="D1770" s="1"/>
      <c r="E1770" s="1" t="s">
        <v>7292</v>
      </c>
      <c r="F1770" s="1"/>
      <c r="G1770" s="1"/>
      <c r="H1770" s="1" t="s">
        <v>93</v>
      </c>
      <c r="I1770" s="1">
        <v>5600.0</v>
      </c>
      <c r="J1770" s="1"/>
      <c r="K1770" s="1"/>
      <c r="L1770" s="1"/>
      <c r="M1770" s="1" t="s">
        <v>7293</v>
      </c>
      <c r="N1770" s="1" t="s">
        <v>53</v>
      </c>
      <c r="O1770" s="1" t="s">
        <v>54</v>
      </c>
      <c r="P1770" s="2">
        <v>43762.8813773148</v>
      </c>
      <c r="Q1770" s="1" t="s">
        <v>74</v>
      </c>
      <c r="R1770" s="1"/>
      <c r="S1770" s="1"/>
      <c r="T1770" s="1">
        <v>3202801.0</v>
      </c>
      <c r="U1770" s="1" t="s">
        <v>7294</v>
      </c>
      <c r="V1770" s="1" t="s">
        <v>403</v>
      </c>
      <c r="W1770" s="1" t="s">
        <v>288</v>
      </c>
      <c r="X1770" s="1"/>
      <c r="Y1770" s="1" t="str">
        <f>"02001021042202051"</f>
        <v>02001021042202051</v>
      </c>
      <c r="Z1770" s="1" t="s">
        <v>60</v>
      </c>
      <c r="AA1770" s="1" t="s">
        <v>7295</v>
      </c>
      <c r="AB1770" s="1" t="str">
        <f>"***219257**"</f>
        <v>***219257**</v>
      </c>
      <c r="AC1770" s="1"/>
      <c r="AD1770" s="1" t="s">
        <v>149</v>
      </c>
      <c r="AE1770" s="1"/>
      <c r="AF1770" s="1">
        <v>-40.769165</v>
      </c>
      <c r="AG1770" s="1">
        <v>-20.891111</v>
      </c>
      <c r="AH1770" s="1" t="s">
        <v>7296</v>
      </c>
      <c r="AI1770" s="1"/>
      <c r="AJ1770" s="1" t="s">
        <v>172</v>
      </c>
      <c r="AK1770" s="1"/>
      <c r="AL1770" s="1"/>
      <c r="AM1770" s="1" t="s">
        <v>65</v>
      </c>
      <c r="AN1770" s="1" t="s">
        <v>6765</v>
      </c>
      <c r="AO1770" s="1"/>
      <c r="AP1770" s="2">
        <v>43762.8992708333</v>
      </c>
      <c r="AQ1770" s="1"/>
      <c r="AR1770" s="1" t="s">
        <v>198</v>
      </c>
      <c r="AS1770" s="1"/>
      <c r="AT1770" s="2">
        <v>44269.931099537</v>
      </c>
    </row>
    <row r="1771" ht="13.5" customHeight="1">
      <c r="A1771" s="1"/>
      <c r="B1771" s="1" t="s">
        <v>46</v>
      </c>
      <c r="C1771" s="1" t="s">
        <v>47</v>
      </c>
      <c r="D1771" s="1"/>
      <c r="E1771" s="1" t="s">
        <v>7297</v>
      </c>
      <c r="F1771" s="1"/>
      <c r="G1771" s="1"/>
      <c r="H1771" s="1" t="s">
        <v>93</v>
      </c>
      <c r="I1771" s="1">
        <v>5600.0</v>
      </c>
      <c r="J1771" s="1"/>
      <c r="K1771" s="1"/>
      <c r="L1771" s="1"/>
      <c r="M1771" s="1" t="s">
        <v>7298</v>
      </c>
      <c r="N1771" s="1" t="s">
        <v>53</v>
      </c>
      <c r="O1771" s="1" t="s">
        <v>54</v>
      </c>
      <c r="P1771" s="2">
        <v>43762.8586342593</v>
      </c>
      <c r="Q1771" s="1" t="s">
        <v>74</v>
      </c>
      <c r="R1771" s="1"/>
      <c r="S1771" s="1"/>
      <c r="T1771" s="1">
        <v>3202801.0</v>
      </c>
      <c r="U1771" s="1" t="s">
        <v>7294</v>
      </c>
      <c r="V1771" s="1" t="s">
        <v>403</v>
      </c>
      <c r="W1771" s="1" t="s">
        <v>288</v>
      </c>
      <c r="X1771" s="1"/>
      <c r="Y1771" s="1" t="str">
        <f>"02001021041202015"</f>
        <v>02001021041202015</v>
      </c>
      <c r="Z1771" s="1" t="s">
        <v>60</v>
      </c>
      <c r="AA1771" s="1" t="s">
        <v>7299</v>
      </c>
      <c r="AB1771" s="1" t="str">
        <f>"***298476**"</f>
        <v>***298476**</v>
      </c>
      <c r="AC1771" s="1"/>
      <c r="AD1771" s="1" t="s">
        <v>149</v>
      </c>
      <c r="AE1771" s="1"/>
      <c r="AF1771" s="1">
        <v>-40.769165</v>
      </c>
      <c r="AG1771" s="1">
        <v>-20.891111</v>
      </c>
      <c r="AH1771" s="1" t="s">
        <v>7296</v>
      </c>
      <c r="AI1771" s="1"/>
      <c r="AJ1771" s="1" t="s">
        <v>172</v>
      </c>
      <c r="AK1771" s="1"/>
      <c r="AL1771" s="1"/>
      <c r="AM1771" s="1" t="s">
        <v>65</v>
      </c>
      <c r="AN1771" s="1" t="s">
        <v>6765</v>
      </c>
      <c r="AO1771" s="1"/>
      <c r="AP1771" s="2">
        <v>43762.8704398148</v>
      </c>
      <c r="AQ1771" s="1"/>
      <c r="AR1771" s="1" t="s">
        <v>198</v>
      </c>
      <c r="AS1771" s="1"/>
      <c r="AT1771" s="2">
        <v>44269.931099537</v>
      </c>
    </row>
    <row r="1772" ht="13.5" customHeight="1">
      <c r="A1772" s="1"/>
      <c r="B1772" s="1" t="s">
        <v>46</v>
      </c>
      <c r="C1772" s="1" t="s">
        <v>47</v>
      </c>
      <c r="D1772" s="1"/>
      <c r="E1772" s="1" t="s">
        <v>7300</v>
      </c>
      <c r="F1772" s="1"/>
      <c r="G1772" s="1"/>
      <c r="H1772" s="1" t="s">
        <v>93</v>
      </c>
      <c r="I1772" s="1">
        <v>5600.0</v>
      </c>
      <c r="J1772" s="1"/>
      <c r="K1772" s="1"/>
      <c r="L1772" s="1"/>
      <c r="M1772" s="1" t="s">
        <v>7301</v>
      </c>
      <c r="N1772" s="1" t="s">
        <v>53</v>
      </c>
      <c r="O1772" s="1" t="s">
        <v>54</v>
      </c>
      <c r="P1772" s="2">
        <v>43762.8571990741</v>
      </c>
      <c r="Q1772" s="1" t="s">
        <v>74</v>
      </c>
      <c r="R1772" s="3">
        <v>43781.0</v>
      </c>
      <c r="S1772" s="1"/>
      <c r="T1772" s="1">
        <v>3202801.0</v>
      </c>
      <c r="U1772" s="1" t="s">
        <v>7294</v>
      </c>
      <c r="V1772" s="1" t="s">
        <v>403</v>
      </c>
      <c r="W1772" s="1" t="s">
        <v>288</v>
      </c>
      <c r="X1772" s="1"/>
      <c r="Y1772" s="1"/>
      <c r="Z1772" s="1" t="s">
        <v>60</v>
      </c>
      <c r="AA1772" s="1" t="s">
        <v>7302</v>
      </c>
      <c r="AB1772" s="1" t="str">
        <f>"***287597**"</f>
        <v>***287597**</v>
      </c>
      <c r="AC1772" s="1"/>
      <c r="AD1772" s="1" t="s">
        <v>62</v>
      </c>
      <c r="AE1772" s="1"/>
      <c r="AF1772" s="1">
        <v>-40.771667</v>
      </c>
      <c r="AG1772" s="1">
        <v>-20.892221</v>
      </c>
      <c r="AH1772" s="1" t="s">
        <v>7303</v>
      </c>
      <c r="AI1772" s="1"/>
      <c r="AJ1772" s="1" t="s">
        <v>172</v>
      </c>
      <c r="AK1772" s="1"/>
      <c r="AL1772" s="1"/>
      <c r="AM1772" s="1" t="s">
        <v>65</v>
      </c>
      <c r="AN1772" s="1" t="s">
        <v>6765</v>
      </c>
      <c r="AO1772" s="1"/>
      <c r="AP1772" s="2">
        <v>43762.8674884259</v>
      </c>
      <c r="AQ1772" s="1"/>
      <c r="AR1772" s="1" t="s">
        <v>198</v>
      </c>
      <c r="AS1772" s="1"/>
      <c r="AT1772" s="2">
        <v>44269.931099537</v>
      </c>
    </row>
    <row r="1773" ht="13.5" customHeight="1">
      <c r="A1773" s="1"/>
      <c r="B1773" s="1" t="s">
        <v>46</v>
      </c>
      <c r="C1773" s="1" t="s">
        <v>47</v>
      </c>
      <c r="D1773" s="1"/>
      <c r="E1773" s="1" t="s">
        <v>7304</v>
      </c>
      <c r="F1773" s="1"/>
      <c r="G1773" s="1" t="s">
        <v>49</v>
      </c>
      <c r="H1773" s="1" t="s">
        <v>50</v>
      </c>
      <c r="I1773" s="1">
        <v>111500.0</v>
      </c>
      <c r="J1773" s="1"/>
      <c r="K1773" s="1" t="s">
        <v>140</v>
      </c>
      <c r="L1773" s="1"/>
      <c r="M1773" s="1" t="s">
        <v>7305</v>
      </c>
      <c r="N1773" s="1" t="s">
        <v>142</v>
      </c>
      <c r="O1773" s="1" t="s">
        <v>143</v>
      </c>
      <c r="P1773" s="2">
        <v>43762.8378935185</v>
      </c>
      <c r="Q1773" s="1" t="s">
        <v>74</v>
      </c>
      <c r="R1773" s="3">
        <v>43795.0</v>
      </c>
      <c r="S1773" s="1"/>
      <c r="T1773" s="1">
        <v>1100205.0</v>
      </c>
      <c r="U1773" s="1" t="s">
        <v>653</v>
      </c>
      <c r="V1773" s="1" t="s">
        <v>448</v>
      </c>
      <c r="W1773" s="1" t="s">
        <v>177</v>
      </c>
      <c r="X1773" s="1"/>
      <c r="Y1773" s="1"/>
      <c r="Z1773" s="1" t="s">
        <v>147</v>
      </c>
      <c r="AA1773" s="1" t="s">
        <v>7306</v>
      </c>
      <c r="AB1773" s="1" t="str">
        <f>"11519384000170"</f>
        <v>11519384000170</v>
      </c>
      <c r="AC1773" s="1"/>
      <c r="AD1773" s="1" t="s">
        <v>149</v>
      </c>
      <c r="AE1773" s="1"/>
      <c r="AF1773" s="1">
        <v>-63.889446</v>
      </c>
      <c r="AG1773" s="1">
        <v>-8.740001</v>
      </c>
      <c r="AH1773" s="1" t="s">
        <v>7307</v>
      </c>
      <c r="AI1773" s="1"/>
      <c r="AJ1773" s="1" t="s">
        <v>444</v>
      </c>
      <c r="AK1773" s="1"/>
      <c r="AL1773" s="1"/>
      <c r="AM1773" s="1" t="s">
        <v>65</v>
      </c>
      <c r="AN1773" s="1" t="s">
        <v>4428</v>
      </c>
      <c r="AO1773" s="1"/>
      <c r="AP1773" s="2">
        <v>44020.5958796296</v>
      </c>
      <c r="AQ1773" s="1"/>
      <c r="AR1773" s="1" t="s">
        <v>396</v>
      </c>
      <c r="AS1773" s="1" t="s">
        <v>7308</v>
      </c>
      <c r="AT1773" s="2">
        <v>44269.931099537</v>
      </c>
    </row>
    <row r="1774" ht="13.5" customHeight="1">
      <c r="A1774" s="1">
        <v>2041249.0</v>
      </c>
      <c r="B1774" s="1" t="s">
        <v>67</v>
      </c>
      <c r="C1774" s="1" t="s">
        <v>68</v>
      </c>
      <c r="D1774" s="1" t="s">
        <v>46</v>
      </c>
      <c r="E1774" s="1" t="s">
        <v>7309</v>
      </c>
      <c r="F1774" s="1"/>
      <c r="G1774" s="1" t="s">
        <v>70</v>
      </c>
      <c r="H1774" s="1" t="s">
        <v>93</v>
      </c>
      <c r="I1774" s="1">
        <v>2105092.0</v>
      </c>
      <c r="J1774" s="1"/>
      <c r="K1774" s="1"/>
      <c r="L1774" s="1" t="s">
        <v>1172</v>
      </c>
      <c r="M1774" s="1" t="s">
        <v>7310</v>
      </c>
      <c r="N1774" s="1" t="s">
        <v>142</v>
      </c>
      <c r="O1774" s="1" t="s">
        <v>143</v>
      </c>
      <c r="P1774" s="2">
        <v>43762.8333333333</v>
      </c>
      <c r="Q1774" s="1" t="s">
        <v>74</v>
      </c>
      <c r="R1774" s="3">
        <v>43780.0</v>
      </c>
      <c r="S1774" s="1"/>
      <c r="T1774" s="1">
        <v>1507300.0</v>
      </c>
      <c r="U1774" s="1" t="s">
        <v>3161</v>
      </c>
      <c r="V1774" s="1" t="s">
        <v>193</v>
      </c>
      <c r="W1774" s="1" t="s">
        <v>177</v>
      </c>
      <c r="X1774" s="1"/>
      <c r="Y1774" s="1"/>
      <c r="Z1774" s="1" t="s">
        <v>147</v>
      </c>
      <c r="AA1774" s="1" t="s">
        <v>7311</v>
      </c>
      <c r="AB1774" s="1" t="str">
        <f>"***585866**"</f>
        <v>***585866**</v>
      </c>
      <c r="AC1774" s="1"/>
      <c r="AD1774" s="1"/>
      <c r="AE1774" s="1"/>
      <c r="AF1774" s="1">
        <v>-51.206944</v>
      </c>
      <c r="AG1774" s="1">
        <v>-5.487778</v>
      </c>
      <c r="AH1774" s="1" t="s">
        <v>7312</v>
      </c>
      <c r="AI1774" s="1"/>
      <c r="AJ1774" s="1" t="s">
        <v>1172</v>
      </c>
      <c r="AK1774" s="1"/>
      <c r="AL1774" s="1" t="s">
        <v>79</v>
      </c>
      <c r="AM1774" s="1" t="s">
        <v>65</v>
      </c>
      <c r="AN1774" s="1" t="s">
        <v>6919</v>
      </c>
      <c r="AO1774" s="2">
        <v>44159.0</v>
      </c>
      <c r="AP1774" s="2">
        <v>44159.395</v>
      </c>
      <c r="AQ1774" s="1" t="s">
        <v>80</v>
      </c>
      <c r="AR1774" s="1" t="s">
        <v>181</v>
      </c>
      <c r="AS1774" s="1"/>
      <c r="AT1774" s="2">
        <v>44269.931099537</v>
      </c>
    </row>
    <row r="1775" ht="13.5" customHeight="1">
      <c r="A1775" s="1"/>
      <c r="B1775" s="1" t="s">
        <v>46</v>
      </c>
      <c r="C1775" s="1" t="s">
        <v>47</v>
      </c>
      <c r="D1775" s="1"/>
      <c r="E1775" s="1" t="s">
        <v>7313</v>
      </c>
      <c r="F1775" s="1"/>
      <c r="G1775" s="1" t="s">
        <v>49</v>
      </c>
      <c r="H1775" s="1" t="s">
        <v>50</v>
      </c>
      <c r="I1775" s="1">
        <v>220000.0</v>
      </c>
      <c r="J1775" s="1"/>
      <c r="K1775" s="1" t="s">
        <v>140</v>
      </c>
      <c r="L1775" s="1"/>
      <c r="M1775" s="1" t="s">
        <v>7314</v>
      </c>
      <c r="N1775" s="1" t="s">
        <v>123</v>
      </c>
      <c r="O1775" s="1" t="s">
        <v>73</v>
      </c>
      <c r="P1775" s="2">
        <v>43762.8101273148</v>
      </c>
      <c r="Q1775" s="1" t="s">
        <v>74</v>
      </c>
      <c r="R1775" s="3">
        <v>43812.0</v>
      </c>
      <c r="S1775" s="1"/>
      <c r="T1775" s="1">
        <v>1507300.0</v>
      </c>
      <c r="U1775" s="1" t="s">
        <v>3161</v>
      </c>
      <c r="V1775" s="1" t="s">
        <v>193</v>
      </c>
      <c r="W1775" s="1" t="s">
        <v>177</v>
      </c>
      <c r="X1775" s="1"/>
      <c r="Y1775" s="1"/>
      <c r="Z1775" s="1" t="s">
        <v>76</v>
      </c>
      <c r="AA1775" s="1" t="s">
        <v>1610</v>
      </c>
      <c r="AB1775" s="1" t="str">
        <f>"***883396**"</f>
        <v>***883396**</v>
      </c>
      <c r="AC1775" s="1"/>
      <c r="AD1775" s="1" t="s">
        <v>149</v>
      </c>
      <c r="AE1775" s="1"/>
      <c r="AF1775" s="1">
        <v>-51.203335</v>
      </c>
      <c r="AG1775" s="1">
        <v>-5.468056</v>
      </c>
      <c r="AH1775" s="1" t="s">
        <v>7315</v>
      </c>
      <c r="AI1775" s="1"/>
      <c r="AJ1775" s="1" t="s">
        <v>1172</v>
      </c>
      <c r="AK1775" s="1"/>
      <c r="AL1775" s="1"/>
      <c r="AM1775" s="1" t="s">
        <v>65</v>
      </c>
      <c r="AN1775" s="1" t="s">
        <v>6919</v>
      </c>
      <c r="AO1775" s="1"/>
      <c r="AP1775" s="2">
        <v>44017.5751157407</v>
      </c>
      <c r="AQ1775" s="1"/>
      <c r="AR1775" s="1" t="s">
        <v>7316</v>
      </c>
      <c r="AS1775" s="1"/>
      <c r="AT1775" s="2">
        <v>44269.931099537</v>
      </c>
    </row>
    <row r="1776" ht="13.5" customHeight="1">
      <c r="A1776" s="1"/>
      <c r="B1776" s="1" t="s">
        <v>46</v>
      </c>
      <c r="C1776" s="1" t="s">
        <v>47</v>
      </c>
      <c r="D1776" s="1"/>
      <c r="E1776" s="1" t="s">
        <v>7317</v>
      </c>
      <c r="F1776" s="1"/>
      <c r="G1776" s="1"/>
      <c r="H1776" s="1" t="s">
        <v>93</v>
      </c>
      <c r="I1776" s="1">
        <v>5600.0</v>
      </c>
      <c r="J1776" s="1"/>
      <c r="K1776" s="1"/>
      <c r="L1776" s="1"/>
      <c r="M1776" s="1" t="s">
        <v>7318</v>
      </c>
      <c r="N1776" s="1" t="s">
        <v>53</v>
      </c>
      <c r="O1776" s="1" t="s">
        <v>54</v>
      </c>
      <c r="P1776" s="2">
        <v>43762.8044560185</v>
      </c>
      <c r="Q1776" s="1" t="s">
        <v>74</v>
      </c>
      <c r="R1776" s="3">
        <v>43777.0</v>
      </c>
      <c r="S1776" s="1"/>
      <c r="T1776" s="1">
        <v>3202801.0</v>
      </c>
      <c r="U1776" s="1" t="s">
        <v>7294</v>
      </c>
      <c r="V1776" s="1" t="s">
        <v>403</v>
      </c>
      <c r="W1776" s="1" t="s">
        <v>288</v>
      </c>
      <c r="X1776" s="1"/>
      <c r="Y1776" s="1"/>
      <c r="Z1776" s="1" t="s">
        <v>60</v>
      </c>
      <c r="AA1776" s="1" t="s">
        <v>7319</v>
      </c>
      <c r="AB1776" s="1" t="str">
        <f>"***686697**"</f>
        <v>***686697**</v>
      </c>
      <c r="AC1776" s="1"/>
      <c r="AD1776" s="1" t="s">
        <v>62</v>
      </c>
      <c r="AE1776" s="1"/>
      <c r="AF1776" s="1">
        <v>-40.771667</v>
      </c>
      <c r="AG1776" s="1">
        <v>-20.892221</v>
      </c>
      <c r="AH1776" s="1" t="s">
        <v>7320</v>
      </c>
      <c r="AI1776" s="1"/>
      <c r="AJ1776" s="1" t="s">
        <v>172</v>
      </c>
      <c r="AK1776" s="1"/>
      <c r="AL1776" s="1"/>
      <c r="AM1776" s="1" t="s">
        <v>65</v>
      </c>
      <c r="AN1776" s="1" t="s">
        <v>6765</v>
      </c>
      <c r="AO1776" s="1"/>
      <c r="AP1776" s="2">
        <v>43762.8413541667</v>
      </c>
      <c r="AQ1776" s="1"/>
      <c r="AR1776" s="1" t="s">
        <v>198</v>
      </c>
      <c r="AS1776" s="1"/>
      <c r="AT1776" s="2">
        <v>44269.931099537</v>
      </c>
    </row>
    <row r="1777" ht="13.5" customHeight="1">
      <c r="A1777" s="1"/>
      <c r="B1777" s="1" t="s">
        <v>46</v>
      </c>
      <c r="C1777" s="1" t="s">
        <v>47</v>
      </c>
      <c r="D1777" s="1"/>
      <c r="E1777" s="1" t="s">
        <v>7321</v>
      </c>
      <c r="F1777" s="1"/>
      <c r="G1777" s="1"/>
      <c r="H1777" s="1" t="s">
        <v>93</v>
      </c>
      <c r="I1777" s="1">
        <v>82500.0</v>
      </c>
      <c r="J1777" s="1"/>
      <c r="K1777" s="1"/>
      <c r="L1777" s="1"/>
      <c r="M1777" s="1" t="s">
        <v>7322</v>
      </c>
      <c r="N1777" s="1" t="s">
        <v>142</v>
      </c>
      <c r="O1777" s="1" t="s">
        <v>143</v>
      </c>
      <c r="P1777" s="2">
        <v>43762.785</v>
      </c>
      <c r="Q1777" s="1" t="s">
        <v>74</v>
      </c>
      <c r="R1777" s="1"/>
      <c r="S1777" s="1"/>
      <c r="T1777" s="1">
        <v>5106158.0</v>
      </c>
      <c r="U1777" s="1" t="s">
        <v>1700</v>
      </c>
      <c r="V1777" s="1" t="s">
        <v>164</v>
      </c>
      <c r="W1777" s="1" t="s">
        <v>177</v>
      </c>
      <c r="X1777" s="1"/>
      <c r="Y1777" s="1"/>
      <c r="Z1777" s="1" t="s">
        <v>147</v>
      </c>
      <c r="AA1777" s="1" t="s">
        <v>7323</v>
      </c>
      <c r="AB1777" s="1" t="str">
        <f>"***369101**"</f>
        <v>***369101**</v>
      </c>
      <c r="AC1777" s="1"/>
      <c r="AD1777" s="1" t="s">
        <v>2103</v>
      </c>
      <c r="AE1777" s="1"/>
      <c r="AF1777" s="1">
        <v>-57.890003</v>
      </c>
      <c r="AG1777" s="1">
        <v>-10.03389</v>
      </c>
      <c r="AH1777" s="1" t="s">
        <v>7324</v>
      </c>
      <c r="AI1777" s="1"/>
      <c r="AJ1777" s="1" t="s">
        <v>172</v>
      </c>
      <c r="AK1777" s="1"/>
      <c r="AL1777" s="1"/>
      <c r="AM1777" s="1" t="s">
        <v>65</v>
      </c>
      <c r="AN1777" s="1" t="s">
        <v>6258</v>
      </c>
      <c r="AO1777" s="1"/>
      <c r="AP1777" s="2">
        <v>43762.8019675926</v>
      </c>
      <c r="AQ1777" s="1"/>
      <c r="AR1777" s="1" t="s">
        <v>7325</v>
      </c>
      <c r="AS1777" s="1"/>
      <c r="AT1777" s="2">
        <v>44269.931099537</v>
      </c>
    </row>
    <row r="1778" ht="13.5" customHeight="1">
      <c r="A1778" s="1">
        <v>2034911.0</v>
      </c>
      <c r="B1778" s="1" t="s">
        <v>67</v>
      </c>
      <c r="C1778" s="1" t="s">
        <v>68</v>
      </c>
      <c r="D1778" s="1" t="s">
        <v>46</v>
      </c>
      <c r="E1778" s="1" t="s">
        <v>7326</v>
      </c>
      <c r="F1778" s="1"/>
      <c r="G1778" s="1" t="s">
        <v>70</v>
      </c>
      <c r="H1778" s="1" t="s">
        <v>93</v>
      </c>
      <c r="I1778" s="1">
        <v>21977.1</v>
      </c>
      <c r="J1778" s="1"/>
      <c r="K1778" s="1"/>
      <c r="L1778" s="1" t="s">
        <v>172</v>
      </c>
      <c r="M1778" s="1" t="s">
        <v>7327</v>
      </c>
      <c r="N1778" s="1" t="s">
        <v>142</v>
      </c>
      <c r="O1778" s="1" t="s">
        <v>143</v>
      </c>
      <c r="P1778" s="2">
        <v>43762.75</v>
      </c>
      <c r="Q1778" s="1" t="s">
        <v>373</v>
      </c>
      <c r="R1778" s="3">
        <v>43762.0</v>
      </c>
      <c r="S1778" s="1"/>
      <c r="T1778" s="1">
        <v>1300144.0</v>
      </c>
      <c r="U1778" s="1" t="s">
        <v>7328</v>
      </c>
      <c r="V1778" s="1" t="s">
        <v>486</v>
      </c>
      <c r="W1778" s="1" t="s">
        <v>177</v>
      </c>
      <c r="X1778" s="1"/>
      <c r="Y1778" s="1" t="str">
        <f>"02001034471201955"</f>
        <v>02001034471201955</v>
      </c>
      <c r="Z1778" s="1" t="s">
        <v>147</v>
      </c>
      <c r="AA1778" s="1" t="s">
        <v>7329</v>
      </c>
      <c r="AB1778" s="1" t="str">
        <f>"16602613000139"</f>
        <v>16602613000139</v>
      </c>
      <c r="AC1778" s="1"/>
      <c r="AD1778" s="1"/>
      <c r="AE1778" s="1"/>
      <c r="AF1778" s="1">
        <v>-59.892223</v>
      </c>
      <c r="AG1778" s="1">
        <v>-7.210833</v>
      </c>
      <c r="AH1778" s="1" t="s">
        <v>7330</v>
      </c>
      <c r="AI1778" s="1"/>
      <c r="AJ1778" s="1" t="s">
        <v>172</v>
      </c>
      <c r="AK1778" s="1"/>
      <c r="AL1778" s="1" t="s">
        <v>79</v>
      </c>
      <c r="AM1778" s="1" t="s">
        <v>65</v>
      </c>
      <c r="AN1778" s="1" t="s">
        <v>7331</v>
      </c>
      <c r="AO1778" s="2">
        <v>43892.0</v>
      </c>
      <c r="AP1778" s="2">
        <v>43892.7046412037</v>
      </c>
      <c r="AQ1778" s="1" t="s">
        <v>80</v>
      </c>
      <c r="AR1778" s="1" t="s">
        <v>181</v>
      </c>
      <c r="AS1778" s="1"/>
      <c r="AT1778" s="2">
        <v>44269.931099537</v>
      </c>
    </row>
    <row r="1779" ht="13.5" customHeight="1">
      <c r="A1779" s="1"/>
      <c r="B1779" s="1" t="s">
        <v>46</v>
      </c>
      <c r="C1779" s="1" t="s">
        <v>47</v>
      </c>
      <c r="D1779" s="1"/>
      <c r="E1779" s="1" t="s">
        <v>7332</v>
      </c>
      <c r="F1779" s="1"/>
      <c r="G1779" s="1"/>
      <c r="H1779" s="1" t="s">
        <v>93</v>
      </c>
      <c r="I1779" s="1">
        <v>1860000.0</v>
      </c>
      <c r="J1779" s="1"/>
      <c r="K1779" s="1"/>
      <c r="L1779" s="1"/>
      <c r="M1779" s="1" t="s">
        <v>7333</v>
      </c>
      <c r="N1779" s="1" t="s">
        <v>142</v>
      </c>
      <c r="O1779" s="1" t="s">
        <v>143</v>
      </c>
      <c r="P1779" s="2">
        <v>43762.7089814815</v>
      </c>
      <c r="Q1779" s="1" t="s">
        <v>74</v>
      </c>
      <c r="R1779" s="3">
        <v>43774.0</v>
      </c>
      <c r="S1779" s="1"/>
      <c r="T1779" s="1">
        <v>1507300.0</v>
      </c>
      <c r="U1779" s="1" t="s">
        <v>3161</v>
      </c>
      <c r="V1779" s="1" t="s">
        <v>193</v>
      </c>
      <c r="W1779" s="1" t="s">
        <v>177</v>
      </c>
      <c r="X1779" s="1"/>
      <c r="Y1779" s="1"/>
      <c r="Z1779" s="1" t="s">
        <v>147</v>
      </c>
      <c r="AA1779" s="1" t="s">
        <v>7334</v>
      </c>
      <c r="AB1779" s="1" t="str">
        <f>"***178693**"</f>
        <v>***178693**</v>
      </c>
      <c r="AC1779" s="1"/>
      <c r="AD1779" s="1" t="s">
        <v>116</v>
      </c>
      <c r="AE1779" s="1"/>
      <c r="AF1779" s="1">
        <v>-51.040558</v>
      </c>
      <c r="AG1779" s="1">
        <v>-5.323333</v>
      </c>
      <c r="AH1779" s="1" t="s">
        <v>7335</v>
      </c>
      <c r="AI1779" s="1"/>
      <c r="AJ1779" s="1" t="s">
        <v>172</v>
      </c>
      <c r="AK1779" s="1"/>
      <c r="AL1779" s="1"/>
      <c r="AM1779" s="1" t="s">
        <v>65</v>
      </c>
      <c r="AN1779" s="1" t="s">
        <v>2164</v>
      </c>
      <c r="AO1779" s="1"/>
      <c r="AP1779" s="2">
        <v>43762.7265856482</v>
      </c>
      <c r="AQ1779" s="1"/>
      <c r="AR1779" s="1" t="s">
        <v>644</v>
      </c>
      <c r="AS1779" s="1"/>
      <c r="AT1779" s="2">
        <v>44269.931099537</v>
      </c>
    </row>
    <row r="1780" ht="13.5" customHeight="1">
      <c r="A1780" s="1">
        <v>2035577.0</v>
      </c>
      <c r="B1780" s="1" t="s">
        <v>67</v>
      </c>
      <c r="C1780" s="1" t="s">
        <v>68</v>
      </c>
      <c r="D1780" s="1" t="s">
        <v>46</v>
      </c>
      <c r="E1780" s="1" t="s">
        <v>7336</v>
      </c>
      <c r="F1780" s="1"/>
      <c r="G1780" s="1" t="s">
        <v>70</v>
      </c>
      <c r="H1780" s="1" t="s">
        <v>93</v>
      </c>
      <c r="I1780" s="1">
        <v>223440.0</v>
      </c>
      <c r="J1780" s="1"/>
      <c r="K1780" s="1"/>
      <c r="L1780" s="1" t="s">
        <v>358</v>
      </c>
      <c r="M1780" s="1" t="s">
        <v>7337</v>
      </c>
      <c r="N1780" s="1" t="s">
        <v>142</v>
      </c>
      <c r="O1780" s="1" t="s">
        <v>143</v>
      </c>
      <c r="P1780" s="2">
        <v>43762.7083333333</v>
      </c>
      <c r="Q1780" s="1" t="s">
        <v>74</v>
      </c>
      <c r="R1780" s="3">
        <v>43759.0</v>
      </c>
      <c r="S1780" s="1"/>
      <c r="T1780" s="1">
        <v>4109401.0</v>
      </c>
      <c r="U1780" s="1" t="s">
        <v>7338</v>
      </c>
      <c r="V1780" s="1" t="s">
        <v>176</v>
      </c>
      <c r="W1780" s="1" t="s">
        <v>59</v>
      </c>
      <c r="X1780" s="1"/>
      <c r="Y1780" s="1" t="str">
        <f>"02017004567201910"</f>
        <v>02017004567201910</v>
      </c>
      <c r="Z1780" s="1" t="s">
        <v>147</v>
      </c>
      <c r="AA1780" s="1" t="s">
        <v>7339</v>
      </c>
      <c r="AB1780" s="1" t="str">
        <f>"***715609**"</f>
        <v>***715609**</v>
      </c>
      <c r="AC1780" s="1"/>
      <c r="AD1780" s="1"/>
      <c r="AE1780" s="1"/>
      <c r="AF1780" s="1">
        <v>-51.274166</v>
      </c>
      <c r="AG1780" s="1">
        <v>-25.268888</v>
      </c>
      <c r="AH1780" s="1" t="s">
        <v>7340</v>
      </c>
      <c r="AI1780" s="1"/>
      <c r="AJ1780" s="1" t="s">
        <v>358</v>
      </c>
      <c r="AK1780" s="1"/>
      <c r="AL1780" s="1" t="s">
        <v>79</v>
      </c>
      <c r="AM1780" s="1" t="s">
        <v>65</v>
      </c>
      <c r="AN1780" s="1" t="s">
        <v>1696</v>
      </c>
      <c r="AO1780" s="2">
        <v>43909.0</v>
      </c>
      <c r="AP1780" s="2">
        <v>43909.4586921296</v>
      </c>
      <c r="AQ1780" s="1" t="s">
        <v>80</v>
      </c>
      <c r="AR1780" s="1" t="s">
        <v>7341</v>
      </c>
      <c r="AS1780" s="1"/>
      <c r="AT1780" s="2">
        <v>44269.931099537</v>
      </c>
    </row>
    <row r="1781" ht="13.5" customHeight="1">
      <c r="A1781" s="1"/>
      <c r="B1781" s="1" t="s">
        <v>46</v>
      </c>
      <c r="C1781" s="1" t="s">
        <v>47</v>
      </c>
      <c r="D1781" s="1"/>
      <c r="E1781" s="1" t="s">
        <v>7342</v>
      </c>
      <c r="F1781" s="1"/>
      <c r="G1781" s="1" t="s">
        <v>49</v>
      </c>
      <c r="H1781" s="1" t="s">
        <v>93</v>
      </c>
      <c r="I1781" s="1">
        <v>5600.0</v>
      </c>
      <c r="J1781" s="1"/>
      <c r="K1781" s="1"/>
      <c r="L1781" s="1"/>
      <c r="M1781" s="1" t="s">
        <v>7343</v>
      </c>
      <c r="N1781" s="1" t="s">
        <v>53</v>
      </c>
      <c r="O1781" s="1" t="s">
        <v>54</v>
      </c>
      <c r="P1781" s="2">
        <v>43762.6791782407</v>
      </c>
      <c r="Q1781" s="1" t="s">
        <v>74</v>
      </c>
      <c r="R1781" s="1"/>
      <c r="S1781" s="1"/>
      <c r="T1781" s="1">
        <v>3202801.0</v>
      </c>
      <c r="U1781" s="1" t="s">
        <v>7294</v>
      </c>
      <c r="V1781" s="1" t="s">
        <v>403</v>
      </c>
      <c r="W1781" s="1" t="s">
        <v>288</v>
      </c>
      <c r="X1781" s="1"/>
      <c r="Y1781" s="1"/>
      <c r="Z1781" s="1" t="s">
        <v>60</v>
      </c>
      <c r="AA1781" s="1" t="s">
        <v>7344</v>
      </c>
      <c r="AB1781" s="1" t="str">
        <f>"***228907**"</f>
        <v>***228907**</v>
      </c>
      <c r="AC1781" s="1"/>
      <c r="AD1781" s="1" t="s">
        <v>149</v>
      </c>
      <c r="AE1781" s="1"/>
      <c r="AF1781" s="1">
        <v>-40.771944</v>
      </c>
      <c r="AG1781" s="1">
        <v>-20.892222</v>
      </c>
      <c r="AH1781" s="1" t="s">
        <v>7345</v>
      </c>
      <c r="AI1781" s="1"/>
      <c r="AJ1781" s="1" t="s">
        <v>172</v>
      </c>
      <c r="AK1781" s="1"/>
      <c r="AL1781" s="1"/>
      <c r="AM1781" s="1" t="s">
        <v>65</v>
      </c>
      <c r="AN1781" s="1" t="s">
        <v>6765</v>
      </c>
      <c r="AO1781" s="1"/>
      <c r="AP1781" s="2">
        <v>44259.4041203704</v>
      </c>
      <c r="AQ1781" s="1"/>
      <c r="AR1781" s="1" t="s">
        <v>1029</v>
      </c>
      <c r="AS1781" s="1"/>
      <c r="AT1781" s="2">
        <v>44269.931099537</v>
      </c>
    </row>
    <row r="1782" ht="13.5" customHeight="1">
      <c r="A1782" s="1"/>
      <c r="B1782" s="1" t="s">
        <v>46</v>
      </c>
      <c r="C1782" s="1" t="s">
        <v>47</v>
      </c>
      <c r="D1782" s="1"/>
      <c r="E1782" s="1" t="s">
        <v>7346</v>
      </c>
      <c r="F1782" s="1"/>
      <c r="G1782" s="1" t="s">
        <v>49</v>
      </c>
      <c r="H1782" s="1" t="s">
        <v>93</v>
      </c>
      <c r="I1782" s="1">
        <v>304492.09</v>
      </c>
      <c r="J1782" s="1"/>
      <c r="K1782" s="1"/>
      <c r="L1782" s="1"/>
      <c r="M1782" s="1" t="s">
        <v>7347</v>
      </c>
      <c r="N1782" s="1" t="s">
        <v>142</v>
      </c>
      <c r="O1782" s="1" t="s">
        <v>143</v>
      </c>
      <c r="P1782" s="2">
        <v>43762.6783101852</v>
      </c>
      <c r="Q1782" s="1" t="s">
        <v>74</v>
      </c>
      <c r="R1782" s="3">
        <v>43812.0</v>
      </c>
      <c r="S1782" s="1"/>
      <c r="T1782" s="1">
        <v>1507300.0</v>
      </c>
      <c r="U1782" s="1" t="s">
        <v>3161</v>
      </c>
      <c r="V1782" s="1" t="s">
        <v>193</v>
      </c>
      <c r="W1782" s="1" t="s">
        <v>177</v>
      </c>
      <c r="X1782" s="1"/>
      <c r="Y1782" s="1"/>
      <c r="Z1782" s="1" t="s">
        <v>147</v>
      </c>
      <c r="AA1782" s="1" t="s">
        <v>1610</v>
      </c>
      <c r="AB1782" s="1" t="str">
        <f>"***883396**"</f>
        <v>***883396**</v>
      </c>
      <c r="AC1782" s="1"/>
      <c r="AD1782" s="1" t="s">
        <v>116</v>
      </c>
      <c r="AE1782" s="1"/>
      <c r="AF1782" s="1">
        <v>-51.203335</v>
      </c>
      <c r="AG1782" s="1">
        <v>-5.468056</v>
      </c>
      <c r="AH1782" s="1" t="s">
        <v>7315</v>
      </c>
      <c r="AI1782" s="1"/>
      <c r="AJ1782" s="1" t="s">
        <v>1172</v>
      </c>
      <c r="AK1782" s="1"/>
      <c r="AL1782" s="1"/>
      <c r="AM1782" s="1" t="s">
        <v>65</v>
      </c>
      <c r="AN1782" s="1" t="s">
        <v>6919</v>
      </c>
      <c r="AO1782" s="1"/>
      <c r="AP1782" s="2">
        <v>44017.5753935185</v>
      </c>
      <c r="AQ1782" s="1"/>
      <c r="AR1782" s="1" t="s">
        <v>280</v>
      </c>
      <c r="AS1782" s="1"/>
      <c r="AT1782" s="2">
        <v>44269.931099537</v>
      </c>
    </row>
    <row r="1783" ht="13.5" customHeight="1">
      <c r="A1783" s="1">
        <v>2035150.0</v>
      </c>
      <c r="B1783" s="1" t="s">
        <v>67</v>
      </c>
      <c r="C1783" s="1" t="s">
        <v>68</v>
      </c>
      <c r="D1783" s="1" t="s">
        <v>46</v>
      </c>
      <c r="E1783" s="1" t="s">
        <v>7348</v>
      </c>
      <c r="F1783" s="1"/>
      <c r="G1783" s="1" t="s">
        <v>70</v>
      </c>
      <c r="H1783" s="1" t="s">
        <v>50</v>
      </c>
      <c r="I1783" s="1">
        <v>310500.0</v>
      </c>
      <c r="J1783" s="1"/>
      <c r="K1783" s="1"/>
      <c r="L1783" s="1" t="s">
        <v>1172</v>
      </c>
      <c r="M1783" s="1" t="s">
        <v>7349</v>
      </c>
      <c r="N1783" s="1" t="s">
        <v>72</v>
      </c>
      <c r="O1783" s="1" t="s">
        <v>73</v>
      </c>
      <c r="P1783" s="2">
        <v>43762.6666666667</v>
      </c>
      <c r="Q1783" s="1" t="s">
        <v>74</v>
      </c>
      <c r="R1783" s="3">
        <v>43762.0</v>
      </c>
      <c r="S1783" s="1"/>
      <c r="T1783" s="1">
        <v>1507300.0</v>
      </c>
      <c r="U1783" s="1" t="s">
        <v>3161</v>
      </c>
      <c r="V1783" s="1" t="s">
        <v>193</v>
      </c>
      <c r="W1783" s="1" t="s">
        <v>177</v>
      </c>
      <c r="X1783" s="1"/>
      <c r="Y1783" s="1" t="str">
        <f>"02047000158202021"</f>
        <v>02047000158202021</v>
      </c>
      <c r="Z1783" s="1" t="s">
        <v>76</v>
      </c>
      <c r="AA1783" s="1" t="s">
        <v>7129</v>
      </c>
      <c r="AB1783" s="1" t="str">
        <f>"***200202**"</f>
        <v>***200202**</v>
      </c>
      <c r="AC1783" s="1"/>
      <c r="AD1783" s="1"/>
      <c r="AE1783" s="1"/>
      <c r="AF1783" s="1">
        <v>-51.208336</v>
      </c>
      <c r="AG1783" s="1">
        <v>-5.485</v>
      </c>
      <c r="AH1783" s="1" t="s">
        <v>7350</v>
      </c>
      <c r="AI1783" s="1"/>
      <c r="AJ1783" s="1" t="s">
        <v>1172</v>
      </c>
      <c r="AK1783" s="1"/>
      <c r="AL1783" s="1" t="s">
        <v>79</v>
      </c>
      <c r="AM1783" s="1" t="s">
        <v>65</v>
      </c>
      <c r="AN1783" s="1" t="s">
        <v>6919</v>
      </c>
      <c r="AO1783" s="2">
        <v>43896.0</v>
      </c>
      <c r="AP1783" s="2">
        <v>43896.3554861111</v>
      </c>
      <c r="AQ1783" s="1" t="s">
        <v>80</v>
      </c>
      <c r="AR1783" s="1" t="s">
        <v>909</v>
      </c>
      <c r="AS1783" s="1"/>
      <c r="AT1783" s="2">
        <v>44269.931099537</v>
      </c>
    </row>
    <row r="1784" ht="13.5" customHeight="1">
      <c r="A1784" s="1">
        <v>2035578.0</v>
      </c>
      <c r="B1784" s="1" t="s">
        <v>67</v>
      </c>
      <c r="C1784" s="1" t="s">
        <v>68</v>
      </c>
      <c r="D1784" s="1" t="s">
        <v>46</v>
      </c>
      <c r="E1784" s="1" t="s">
        <v>7351</v>
      </c>
      <c r="F1784" s="1"/>
      <c r="G1784" s="1" t="s">
        <v>70</v>
      </c>
      <c r="H1784" s="1" t="s">
        <v>93</v>
      </c>
      <c r="I1784" s="1">
        <v>14000.0</v>
      </c>
      <c r="J1784" s="1"/>
      <c r="K1784" s="1"/>
      <c r="L1784" s="1" t="s">
        <v>358</v>
      </c>
      <c r="M1784" s="1" t="s">
        <v>7352</v>
      </c>
      <c r="N1784" s="1" t="s">
        <v>142</v>
      </c>
      <c r="O1784" s="1" t="s">
        <v>143</v>
      </c>
      <c r="P1784" s="2">
        <v>43762.6666666667</v>
      </c>
      <c r="Q1784" s="1" t="s">
        <v>74</v>
      </c>
      <c r="R1784" s="3">
        <v>43767.0</v>
      </c>
      <c r="S1784" s="1"/>
      <c r="T1784" s="1">
        <v>4119301.0</v>
      </c>
      <c r="U1784" s="1" t="s">
        <v>5798</v>
      </c>
      <c r="V1784" s="1" t="s">
        <v>176</v>
      </c>
      <c r="W1784" s="1" t="s">
        <v>59</v>
      </c>
      <c r="X1784" s="1"/>
      <c r="Y1784" s="1"/>
      <c r="Z1784" s="1" t="s">
        <v>147</v>
      </c>
      <c r="AA1784" s="1" t="s">
        <v>7353</v>
      </c>
      <c r="AB1784" s="1" t="str">
        <f>"***329469**"</f>
        <v>***329469**</v>
      </c>
      <c r="AC1784" s="1"/>
      <c r="AD1784" s="1"/>
      <c r="AE1784" s="1"/>
      <c r="AF1784" s="1">
        <v>-52.11528</v>
      </c>
      <c r="AG1784" s="1">
        <v>-26.016111</v>
      </c>
      <c r="AH1784" s="1" t="s">
        <v>7354</v>
      </c>
      <c r="AI1784" s="1"/>
      <c r="AJ1784" s="1" t="s">
        <v>358</v>
      </c>
      <c r="AK1784" s="1"/>
      <c r="AL1784" s="1" t="s">
        <v>79</v>
      </c>
      <c r="AM1784" s="1" t="s">
        <v>65</v>
      </c>
      <c r="AN1784" s="1" t="s">
        <v>1696</v>
      </c>
      <c r="AO1784" s="2">
        <v>43909.0</v>
      </c>
      <c r="AP1784" s="2">
        <v>43909.4588078704</v>
      </c>
      <c r="AQ1784" s="1" t="s">
        <v>80</v>
      </c>
      <c r="AR1784" s="1" t="s">
        <v>5801</v>
      </c>
      <c r="AS1784" s="1"/>
      <c r="AT1784" s="2">
        <v>44269.931099537</v>
      </c>
    </row>
    <row r="1785" ht="13.5" customHeight="1">
      <c r="A1785" s="1">
        <v>2036227.0</v>
      </c>
      <c r="B1785" s="1" t="s">
        <v>67</v>
      </c>
      <c r="C1785" s="1" t="s">
        <v>68</v>
      </c>
      <c r="D1785" s="1" t="s">
        <v>46</v>
      </c>
      <c r="E1785" s="1" t="s">
        <v>7355</v>
      </c>
      <c r="F1785" s="1"/>
      <c r="G1785" s="1" t="s">
        <v>70</v>
      </c>
      <c r="H1785" s="1" t="s">
        <v>50</v>
      </c>
      <c r="I1785" s="1">
        <v>4000.0</v>
      </c>
      <c r="J1785" s="1"/>
      <c r="K1785" s="1"/>
      <c r="L1785" s="1" t="s">
        <v>64</v>
      </c>
      <c r="M1785" s="1" t="s">
        <v>6471</v>
      </c>
      <c r="N1785" s="1" t="s">
        <v>72</v>
      </c>
      <c r="O1785" s="1" t="s">
        <v>73</v>
      </c>
      <c r="P1785" s="2">
        <v>43762.6666666667</v>
      </c>
      <c r="Q1785" s="1" t="s">
        <v>74</v>
      </c>
      <c r="R1785" s="3">
        <v>43762.0</v>
      </c>
      <c r="S1785" s="1"/>
      <c r="T1785" s="1">
        <v>3509502.0</v>
      </c>
      <c r="U1785" s="1" t="s">
        <v>97</v>
      </c>
      <c r="V1785" s="1" t="s">
        <v>58</v>
      </c>
      <c r="W1785" s="1" t="s">
        <v>59</v>
      </c>
      <c r="X1785" s="1"/>
      <c r="Y1785" s="1" t="str">
        <f>"02285000744201929"</f>
        <v>02285000744201929</v>
      </c>
      <c r="Z1785" s="1" t="s">
        <v>76</v>
      </c>
      <c r="AA1785" s="1" t="s">
        <v>7356</v>
      </c>
      <c r="AB1785" s="1" t="str">
        <f>"04011170000122"</f>
        <v>04011170000122</v>
      </c>
      <c r="AC1785" s="1"/>
      <c r="AD1785" s="1" t="s">
        <v>116</v>
      </c>
      <c r="AE1785" s="1"/>
      <c r="AF1785" s="1">
        <v>-47.144167</v>
      </c>
      <c r="AG1785" s="1">
        <v>-23.007778</v>
      </c>
      <c r="AH1785" s="1" t="s">
        <v>7357</v>
      </c>
      <c r="AI1785" s="1"/>
      <c r="AJ1785" s="1" t="s">
        <v>64</v>
      </c>
      <c r="AK1785" s="1" t="s">
        <v>7358</v>
      </c>
      <c r="AL1785" s="1" t="s">
        <v>79</v>
      </c>
      <c r="AM1785" s="1" t="s">
        <v>65</v>
      </c>
      <c r="AN1785" s="1" t="s">
        <v>102</v>
      </c>
      <c r="AO1785" s="2">
        <v>43941.0</v>
      </c>
      <c r="AP1785" s="2">
        <v>44057.4572685185</v>
      </c>
      <c r="AQ1785" s="1" t="s">
        <v>80</v>
      </c>
      <c r="AR1785" s="1" t="s">
        <v>1072</v>
      </c>
      <c r="AS1785" s="1"/>
      <c r="AT1785" s="2">
        <v>44269.931099537</v>
      </c>
    </row>
    <row r="1786" ht="13.5" customHeight="1">
      <c r="A1786" s="1">
        <v>2035579.0</v>
      </c>
      <c r="B1786" s="1" t="s">
        <v>67</v>
      </c>
      <c r="C1786" s="1" t="s">
        <v>68</v>
      </c>
      <c r="D1786" s="1" t="s">
        <v>46</v>
      </c>
      <c r="E1786" s="1" t="s">
        <v>7359</v>
      </c>
      <c r="F1786" s="1"/>
      <c r="G1786" s="1" t="s">
        <v>70</v>
      </c>
      <c r="H1786" s="1" t="s">
        <v>93</v>
      </c>
      <c r="I1786" s="1">
        <v>540120.0</v>
      </c>
      <c r="J1786" s="1"/>
      <c r="K1786" s="1"/>
      <c r="L1786" s="1" t="s">
        <v>358</v>
      </c>
      <c r="M1786" s="1" t="s">
        <v>7360</v>
      </c>
      <c r="N1786" s="1" t="s">
        <v>142</v>
      </c>
      <c r="O1786" s="1" t="s">
        <v>143</v>
      </c>
      <c r="P1786" s="2">
        <v>43762.625</v>
      </c>
      <c r="Q1786" s="1" t="s">
        <v>74</v>
      </c>
      <c r="R1786" s="3">
        <v>43759.0</v>
      </c>
      <c r="S1786" s="1"/>
      <c r="T1786" s="1">
        <v>4109401.0</v>
      </c>
      <c r="U1786" s="1" t="s">
        <v>7338</v>
      </c>
      <c r="V1786" s="1" t="s">
        <v>176</v>
      </c>
      <c r="W1786" s="1" t="s">
        <v>59</v>
      </c>
      <c r="X1786" s="1"/>
      <c r="Y1786" s="1" t="str">
        <f>"02017004566201975"</f>
        <v>02017004566201975</v>
      </c>
      <c r="Z1786" s="1" t="s">
        <v>147</v>
      </c>
      <c r="AA1786" s="1" t="s">
        <v>7361</v>
      </c>
      <c r="AB1786" s="1" t="str">
        <f>"***642139**"</f>
        <v>***642139**</v>
      </c>
      <c r="AC1786" s="1"/>
      <c r="AD1786" s="1"/>
      <c r="AE1786" s="1"/>
      <c r="AF1786" s="1">
        <v>-51.304447</v>
      </c>
      <c r="AG1786" s="1">
        <v>-25.18</v>
      </c>
      <c r="AH1786" s="1" t="s">
        <v>7362</v>
      </c>
      <c r="AI1786" s="1"/>
      <c r="AJ1786" s="1" t="s">
        <v>358</v>
      </c>
      <c r="AK1786" s="1"/>
      <c r="AL1786" s="1" t="s">
        <v>79</v>
      </c>
      <c r="AM1786" s="1" t="s">
        <v>65</v>
      </c>
      <c r="AN1786" s="1" t="s">
        <v>1696</v>
      </c>
      <c r="AO1786" s="2">
        <v>43909.0</v>
      </c>
      <c r="AP1786" s="2">
        <v>43909.4589236111</v>
      </c>
      <c r="AQ1786" s="1" t="s">
        <v>80</v>
      </c>
      <c r="AR1786" s="1" t="s">
        <v>7341</v>
      </c>
      <c r="AS1786" s="1"/>
      <c r="AT1786" s="2">
        <v>44269.931099537</v>
      </c>
    </row>
    <row r="1787" ht="13.5" customHeight="1">
      <c r="A1787" s="1">
        <v>2035580.0</v>
      </c>
      <c r="B1787" s="1" t="s">
        <v>67</v>
      </c>
      <c r="C1787" s="1" t="s">
        <v>68</v>
      </c>
      <c r="D1787" s="1" t="s">
        <v>46</v>
      </c>
      <c r="E1787" s="1" t="s">
        <v>7363</v>
      </c>
      <c r="F1787" s="1"/>
      <c r="G1787" s="1" t="s">
        <v>70</v>
      </c>
      <c r="H1787" s="1" t="s">
        <v>93</v>
      </c>
      <c r="I1787" s="1">
        <v>18000.0</v>
      </c>
      <c r="J1787" s="1"/>
      <c r="K1787" s="1"/>
      <c r="L1787" s="1" t="s">
        <v>358</v>
      </c>
      <c r="M1787" s="1" t="s">
        <v>7364</v>
      </c>
      <c r="N1787" s="1" t="s">
        <v>142</v>
      </c>
      <c r="O1787" s="1" t="s">
        <v>143</v>
      </c>
      <c r="P1787" s="2">
        <v>43762.625</v>
      </c>
      <c r="Q1787" s="1" t="s">
        <v>373</v>
      </c>
      <c r="R1787" s="3">
        <v>43762.0</v>
      </c>
      <c r="S1787" s="1"/>
      <c r="T1787" s="1">
        <v>4121752.0</v>
      </c>
      <c r="U1787" s="1" t="s">
        <v>7365</v>
      </c>
      <c r="V1787" s="1" t="s">
        <v>176</v>
      </c>
      <c r="W1787" s="1" t="s">
        <v>59</v>
      </c>
      <c r="X1787" s="1"/>
      <c r="Y1787" s="1"/>
      <c r="Z1787" s="1" t="s">
        <v>147</v>
      </c>
      <c r="AA1787" s="1" t="s">
        <v>7366</v>
      </c>
      <c r="AB1787" s="1" t="str">
        <f>"***710539**"</f>
        <v>***710539**</v>
      </c>
      <c r="AC1787" s="1"/>
      <c r="AD1787" s="1"/>
      <c r="AE1787" s="1"/>
      <c r="AF1787" s="1">
        <v>-51.985001</v>
      </c>
      <c r="AG1787" s="1">
        <v>-25.996944</v>
      </c>
      <c r="AH1787" s="1" t="s">
        <v>7367</v>
      </c>
      <c r="AI1787" s="1"/>
      <c r="AJ1787" s="1" t="s">
        <v>358</v>
      </c>
      <c r="AK1787" s="1"/>
      <c r="AL1787" s="1" t="s">
        <v>79</v>
      </c>
      <c r="AM1787" s="1" t="s">
        <v>65</v>
      </c>
      <c r="AN1787" s="1" t="s">
        <v>1696</v>
      </c>
      <c r="AO1787" s="2">
        <v>43909.0</v>
      </c>
      <c r="AP1787" s="2">
        <v>43909.4590277778</v>
      </c>
      <c r="AQ1787" s="1" t="s">
        <v>80</v>
      </c>
      <c r="AR1787" s="1" t="s">
        <v>650</v>
      </c>
      <c r="AS1787" s="1"/>
      <c r="AT1787" s="2">
        <v>44269.931099537</v>
      </c>
    </row>
    <row r="1788" ht="13.5" customHeight="1">
      <c r="A1788" s="1"/>
      <c r="B1788" s="1" t="s">
        <v>46</v>
      </c>
      <c r="C1788" s="1" t="s">
        <v>47</v>
      </c>
      <c r="D1788" s="1"/>
      <c r="E1788" s="1" t="s">
        <v>7368</v>
      </c>
      <c r="F1788" s="1"/>
      <c r="G1788" s="1" t="s">
        <v>49</v>
      </c>
      <c r="H1788" s="1" t="s">
        <v>50</v>
      </c>
      <c r="I1788" s="1">
        <v>310500.0</v>
      </c>
      <c r="J1788" s="1"/>
      <c r="K1788" s="1" t="s">
        <v>140</v>
      </c>
      <c r="L1788" s="1"/>
      <c r="M1788" s="1" t="s">
        <v>7369</v>
      </c>
      <c r="N1788" s="1" t="s">
        <v>212</v>
      </c>
      <c r="O1788" s="1" t="s">
        <v>213</v>
      </c>
      <c r="P1788" s="2">
        <v>43762.6068171296</v>
      </c>
      <c r="Q1788" s="1" t="s">
        <v>74</v>
      </c>
      <c r="R1788" s="3">
        <v>43812.0</v>
      </c>
      <c r="S1788" s="1"/>
      <c r="T1788" s="1">
        <v>1507300.0</v>
      </c>
      <c r="U1788" s="1" t="s">
        <v>3161</v>
      </c>
      <c r="V1788" s="1" t="s">
        <v>193</v>
      </c>
      <c r="W1788" s="1" t="s">
        <v>177</v>
      </c>
      <c r="X1788" s="1"/>
      <c r="Y1788" s="1"/>
      <c r="Z1788" s="1" t="s">
        <v>215</v>
      </c>
      <c r="AA1788" s="1" t="s">
        <v>1610</v>
      </c>
      <c r="AB1788" s="1" t="str">
        <f>"***883396**"</f>
        <v>***883396**</v>
      </c>
      <c r="AC1788" s="1"/>
      <c r="AD1788" s="1" t="s">
        <v>149</v>
      </c>
      <c r="AE1788" s="1"/>
      <c r="AF1788" s="1">
        <v>-51.203335</v>
      </c>
      <c r="AG1788" s="1">
        <v>-5.468056</v>
      </c>
      <c r="AH1788" s="1" t="s">
        <v>7370</v>
      </c>
      <c r="AI1788" s="1"/>
      <c r="AJ1788" s="1" t="s">
        <v>1172</v>
      </c>
      <c r="AK1788" s="1"/>
      <c r="AL1788" s="1"/>
      <c r="AM1788" s="1" t="s">
        <v>65</v>
      </c>
      <c r="AN1788" s="1" t="s">
        <v>6919</v>
      </c>
      <c r="AO1788" s="1"/>
      <c r="AP1788" s="2">
        <v>44017.574849537</v>
      </c>
      <c r="AQ1788" s="1"/>
      <c r="AR1788" s="1" t="s">
        <v>6464</v>
      </c>
      <c r="AS1788" s="1"/>
      <c r="AT1788" s="2">
        <v>44269.931099537</v>
      </c>
    </row>
    <row r="1789" ht="13.5" customHeight="1">
      <c r="A1789" s="1"/>
      <c r="B1789" s="1" t="s">
        <v>46</v>
      </c>
      <c r="C1789" s="1" t="s">
        <v>47</v>
      </c>
      <c r="D1789" s="1"/>
      <c r="E1789" s="1" t="s">
        <v>7371</v>
      </c>
      <c r="F1789" s="1"/>
      <c r="G1789" s="1"/>
      <c r="H1789" s="1" t="s">
        <v>93</v>
      </c>
      <c r="I1789" s="1">
        <v>1635000.0</v>
      </c>
      <c r="J1789" s="1"/>
      <c r="K1789" s="1"/>
      <c r="L1789" s="1"/>
      <c r="M1789" s="1" t="s">
        <v>7372</v>
      </c>
      <c r="N1789" s="1" t="s">
        <v>142</v>
      </c>
      <c r="O1789" s="1" t="s">
        <v>143</v>
      </c>
      <c r="P1789" s="2">
        <v>43762.5992013889</v>
      </c>
      <c r="Q1789" s="1" t="s">
        <v>74</v>
      </c>
      <c r="R1789" s="3">
        <v>43782.0</v>
      </c>
      <c r="S1789" s="1"/>
      <c r="T1789" s="1">
        <v>5106158.0</v>
      </c>
      <c r="U1789" s="1" t="s">
        <v>1700</v>
      </c>
      <c r="V1789" s="1" t="s">
        <v>164</v>
      </c>
      <c r="W1789" s="1" t="s">
        <v>177</v>
      </c>
      <c r="X1789" s="1"/>
      <c r="Y1789" s="1"/>
      <c r="Z1789" s="1" t="s">
        <v>147</v>
      </c>
      <c r="AA1789" s="1" t="s">
        <v>7373</v>
      </c>
      <c r="AB1789" s="1" t="str">
        <f>"***554512**"</f>
        <v>***554512**</v>
      </c>
      <c r="AC1789" s="1"/>
      <c r="AD1789" s="1" t="s">
        <v>2103</v>
      </c>
      <c r="AE1789" s="1"/>
      <c r="AF1789" s="1">
        <v>-57.93528</v>
      </c>
      <c r="AG1789" s="1">
        <v>-40.182777</v>
      </c>
      <c r="AH1789" s="1" t="s">
        <v>7374</v>
      </c>
      <c r="AI1789" s="1"/>
      <c r="AJ1789" s="1" t="s">
        <v>172</v>
      </c>
      <c r="AK1789" s="1"/>
      <c r="AL1789" s="1"/>
      <c r="AM1789" s="1" t="s">
        <v>65</v>
      </c>
      <c r="AN1789" s="1" t="s">
        <v>6258</v>
      </c>
      <c r="AO1789" s="1"/>
      <c r="AP1789" s="2">
        <v>43762.7109375</v>
      </c>
      <c r="AQ1789" s="1"/>
      <c r="AR1789" s="1" t="s">
        <v>7325</v>
      </c>
      <c r="AS1789" s="1"/>
      <c r="AT1789" s="2">
        <v>44269.931099537</v>
      </c>
    </row>
    <row r="1790" ht="13.5" customHeight="1">
      <c r="A1790" s="1">
        <v>2035582.0</v>
      </c>
      <c r="B1790" s="1" t="s">
        <v>67</v>
      </c>
      <c r="C1790" s="1" t="s">
        <v>68</v>
      </c>
      <c r="D1790" s="1" t="s">
        <v>46</v>
      </c>
      <c r="E1790" s="1" t="s">
        <v>7375</v>
      </c>
      <c r="F1790" s="1"/>
      <c r="G1790" s="1" t="s">
        <v>70</v>
      </c>
      <c r="H1790" s="1" t="s">
        <v>93</v>
      </c>
      <c r="I1790" s="1">
        <v>180180.0</v>
      </c>
      <c r="J1790" s="1"/>
      <c r="K1790" s="1"/>
      <c r="L1790" s="1" t="s">
        <v>358</v>
      </c>
      <c r="M1790" s="1" t="s">
        <v>7376</v>
      </c>
      <c r="N1790" s="1" t="s">
        <v>142</v>
      </c>
      <c r="O1790" s="1" t="s">
        <v>143</v>
      </c>
      <c r="P1790" s="2">
        <v>43762.5833333333</v>
      </c>
      <c r="Q1790" s="1" t="s">
        <v>74</v>
      </c>
      <c r="R1790" s="3">
        <v>43761.0</v>
      </c>
      <c r="S1790" s="1"/>
      <c r="T1790" s="1">
        <v>4109401.0</v>
      </c>
      <c r="U1790" s="1" t="s">
        <v>7338</v>
      </c>
      <c r="V1790" s="1" t="s">
        <v>176</v>
      </c>
      <c r="W1790" s="1" t="s">
        <v>59</v>
      </c>
      <c r="X1790" s="1"/>
      <c r="Y1790" s="1" t="str">
        <f>"02017004565201921"</f>
        <v>02017004565201921</v>
      </c>
      <c r="Z1790" s="1" t="s">
        <v>147</v>
      </c>
      <c r="AA1790" s="1" t="s">
        <v>7377</v>
      </c>
      <c r="AB1790" s="1" t="str">
        <f>"***955419**"</f>
        <v>***955419**</v>
      </c>
      <c r="AC1790" s="1"/>
      <c r="AD1790" s="1"/>
      <c r="AE1790" s="1"/>
      <c r="AF1790" s="1">
        <v>-51.31139</v>
      </c>
      <c r="AG1790" s="1">
        <v>-25.116945</v>
      </c>
      <c r="AH1790" s="1" t="s">
        <v>7378</v>
      </c>
      <c r="AI1790" s="1"/>
      <c r="AJ1790" s="1" t="s">
        <v>358</v>
      </c>
      <c r="AK1790" s="1"/>
      <c r="AL1790" s="1" t="s">
        <v>79</v>
      </c>
      <c r="AM1790" s="1" t="s">
        <v>65</v>
      </c>
      <c r="AN1790" s="1" t="s">
        <v>1696</v>
      </c>
      <c r="AO1790" s="2">
        <v>43909.0</v>
      </c>
      <c r="AP1790" s="2">
        <v>43909.4592592593</v>
      </c>
      <c r="AQ1790" s="1" t="s">
        <v>80</v>
      </c>
      <c r="AR1790" s="1" t="s">
        <v>5801</v>
      </c>
      <c r="AS1790" s="1"/>
      <c r="AT1790" s="2">
        <v>44269.931099537</v>
      </c>
    </row>
    <row r="1791" ht="13.5" customHeight="1">
      <c r="A1791" s="1">
        <v>2040241.0</v>
      </c>
      <c r="B1791" s="1" t="s">
        <v>67</v>
      </c>
      <c r="C1791" s="1" t="s">
        <v>68</v>
      </c>
      <c r="D1791" s="1" t="s">
        <v>46</v>
      </c>
      <c r="E1791" s="1" t="s">
        <v>7379</v>
      </c>
      <c r="F1791" s="1"/>
      <c r="G1791" s="1" t="s">
        <v>70</v>
      </c>
      <c r="H1791" s="1" t="s">
        <v>93</v>
      </c>
      <c r="I1791" s="1">
        <v>7500.0</v>
      </c>
      <c r="J1791" s="1"/>
      <c r="K1791" s="1"/>
      <c r="L1791" s="1" t="s">
        <v>371</v>
      </c>
      <c r="M1791" s="1" t="s">
        <v>7380</v>
      </c>
      <c r="N1791" s="1" t="s">
        <v>142</v>
      </c>
      <c r="O1791" s="1" t="s">
        <v>143</v>
      </c>
      <c r="P1791" s="2">
        <v>43762.5833333333</v>
      </c>
      <c r="Q1791" s="1" t="s">
        <v>373</v>
      </c>
      <c r="R1791" s="3">
        <v>43762.0</v>
      </c>
      <c r="S1791" s="1"/>
      <c r="T1791" s="1">
        <v>5201108.0</v>
      </c>
      <c r="U1791" s="1" t="s">
        <v>2686</v>
      </c>
      <c r="V1791" s="1" t="s">
        <v>375</v>
      </c>
      <c r="W1791" s="1" t="s">
        <v>177</v>
      </c>
      <c r="X1791" s="1"/>
      <c r="Y1791" s="1" t="str">
        <f>"02010004099201943"</f>
        <v>02010004099201943</v>
      </c>
      <c r="Z1791" s="1" t="s">
        <v>147</v>
      </c>
      <c r="AA1791" s="1" t="s">
        <v>7381</v>
      </c>
      <c r="AB1791" s="1" t="str">
        <f>"18550569000196"</f>
        <v>18550569000196</v>
      </c>
      <c r="AC1791" s="1"/>
      <c r="AD1791" s="1"/>
      <c r="AE1791" s="1"/>
      <c r="AF1791" s="1">
        <v>-48.975277</v>
      </c>
      <c r="AG1791" s="1">
        <v>-16.276945</v>
      </c>
      <c r="AH1791" s="1" t="s">
        <v>7382</v>
      </c>
      <c r="AI1791" s="1"/>
      <c r="AJ1791" s="1" t="s">
        <v>371</v>
      </c>
      <c r="AK1791" s="1"/>
      <c r="AL1791" s="1" t="s">
        <v>79</v>
      </c>
      <c r="AM1791" s="1" t="s">
        <v>65</v>
      </c>
      <c r="AN1791" s="1" t="s">
        <v>6461</v>
      </c>
      <c r="AO1791" s="2">
        <v>44118.0</v>
      </c>
      <c r="AP1791" s="2">
        <v>44118.4206712963</v>
      </c>
      <c r="AQ1791" s="1" t="s">
        <v>80</v>
      </c>
      <c r="AR1791" s="1" t="s">
        <v>379</v>
      </c>
      <c r="AS1791" s="1"/>
      <c r="AT1791" s="2">
        <v>44269.931099537</v>
      </c>
    </row>
    <row r="1792" ht="13.5" customHeight="1">
      <c r="A1792" s="1"/>
      <c r="B1792" s="1" t="s">
        <v>46</v>
      </c>
      <c r="C1792" s="1" t="s">
        <v>47</v>
      </c>
      <c r="D1792" s="1"/>
      <c r="E1792" s="1" t="s">
        <v>7383</v>
      </c>
      <c r="F1792" s="1"/>
      <c r="G1792" s="1"/>
      <c r="H1792" s="1" t="s">
        <v>93</v>
      </c>
      <c r="I1792" s="1">
        <v>1500.0</v>
      </c>
      <c r="J1792" s="1"/>
      <c r="K1792" s="1" t="s">
        <v>140</v>
      </c>
      <c r="L1792" s="1"/>
      <c r="M1792" s="1" t="s">
        <v>7384</v>
      </c>
      <c r="N1792" s="1" t="s">
        <v>977</v>
      </c>
      <c r="O1792" s="1" t="s">
        <v>978</v>
      </c>
      <c r="P1792" s="2">
        <v>43762.5761111111</v>
      </c>
      <c r="Q1792" s="1" t="s">
        <v>373</v>
      </c>
      <c r="R1792" s="1"/>
      <c r="S1792" s="1"/>
      <c r="T1792" s="1">
        <v>5107925.0</v>
      </c>
      <c r="U1792" s="1" t="s">
        <v>7385</v>
      </c>
      <c r="V1792" s="1" t="s">
        <v>164</v>
      </c>
      <c r="W1792" s="1" t="s">
        <v>177</v>
      </c>
      <c r="X1792" s="1"/>
      <c r="Y1792" s="1"/>
      <c r="Z1792" s="1" t="s">
        <v>980</v>
      </c>
      <c r="AA1792" s="1" t="s">
        <v>7386</v>
      </c>
      <c r="AB1792" s="1" t="str">
        <f>"***029001**"</f>
        <v>***029001**</v>
      </c>
      <c r="AC1792" s="1"/>
      <c r="AD1792" s="1" t="s">
        <v>62</v>
      </c>
      <c r="AE1792" s="1"/>
      <c r="AF1792" s="1">
        <v>-55.810833</v>
      </c>
      <c r="AG1792" s="1">
        <v>-12.6975</v>
      </c>
      <c r="AH1792" s="1" t="s">
        <v>7387</v>
      </c>
      <c r="AI1792" s="1"/>
      <c r="AJ1792" s="1" t="s">
        <v>167</v>
      </c>
      <c r="AK1792" s="1"/>
      <c r="AL1792" s="1"/>
      <c r="AM1792" s="1" t="s">
        <v>65</v>
      </c>
      <c r="AN1792" s="1" t="s">
        <v>6985</v>
      </c>
      <c r="AO1792" s="1"/>
      <c r="AP1792" s="2">
        <v>43762.5870949074</v>
      </c>
      <c r="AQ1792" s="1"/>
      <c r="AR1792" s="1" t="s">
        <v>7388</v>
      </c>
      <c r="AS1792" s="1"/>
      <c r="AT1792" s="2">
        <v>44269.931099537</v>
      </c>
    </row>
    <row r="1793" ht="13.5" customHeight="1">
      <c r="A1793" s="1"/>
      <c r="B1793" s="1" t="s">
        <v>46</v>
      </c>
      <c r="C1793" s="1" t="s">
        <v>47</v>
      </c>
      <c r="D1793" s="1"/>
      <c r="E1793" s="1" t="s">
        <v>7389</v>
      </c>
      <c r="F1793" s="1"/>
      <c r="G1793" s="1" t="s">
        <v>5034</v>
      </c>
      <c r="H1793" s="1" t="s">
        <v>50</v>
      </c>
      <c r="I1793" s="1">
        <v>250.0</v>
      </c>
      <c r="J1793" s="1"/>
      <c r="K1793" s="1" t="s">
        <v>51</v>
      </c>
      <c r="L1793" s="1"/>
      <c r="M1793" s="1" t="s">
        <v>7390</v>
      </c>
      <c r="N1793" s="1" t="s">
        <v>977</v>
      </c>
      <c r="O1793" s="1" t="s">
        <v>978</v>
      </c>
      <c r="P1793" s="2">
        <v>43762.5654166667</v>
      </c>
      <c r="Q1793" s="1" t="s">
        <v>74</v>
      </c>
      <c r="R1793" s="3">
        <v>43822.0</v>
      </c>
      <c r="S1793" s="1"/>
      <c r="T1793" s="1">
        <v>3509502.0</v>
      </c>
      <c r="U1793" s="1" t="s">
        <v>97</v>
      </c>
      <c r="V1793" s="1" t="s">
        <v>58</v>
      </c>
      <c r="W1793" s="1" t="s">
        <v>59</v>
      </c>
      <c r="X1793" s="1"/>
      <c r="Y1793" s="1"/>
      <c r="Z1793" s="1" t="s">
        <v>980</v>
      </c>
      <c r="AA1793" s="1" t="s">
        <v>7356</v>
      </c>
      <c r="AB1793" s="1" t="str">
        <f>"04011170000122"</f>
        <v>04011170000122</v>
      </c>
      <c r="AC1793" s="1"/>
      <c r="AD1793" s="1" t="s">
        <v>149</v>
      </c>
      <c r="AE1793" s="1"/>
      <c r="AF1793" s="1">
        <v>-47.144169</v>
      </c>
      <c r="AG1793" s="1">
        <v>-23.007778</v>
      </c>
      <c r="AH1793" s="1" t="s">
        <v>7391</v>
      </c>
      <c r="AI1793" s="1"/>
      <c r="AJ1793" s="1" t="s">
        <v>64</v>
      </c>
      <c r="AK1793" s="1"/>
      <c r="AL1793" s="1"/>
      <c r="AM1793" s="1" t="s">
        <v>65</v>
      </c>
      <c r="AN1793" s="1" t="s">
        <v>102</v>
      </c>
      <c r="AO1793" s="1"/>
      <c r="AP1793" s="2">
        <v>44183.8001157407</v>
      </c>
      <c r="AQ1793" s="1"/>
      <c r="AR1793" s="1" t="s">
        <v>7392</v>
      </c>
      <c r="AS1793" s="1"/>
      <c r="AT1793" s="2">
        <v>44269.931099537</v>
      </c>
    </row>
    <row r="1794" ht="13.5" customHeight="1">
      <c r="A1794" s="1"/>
      <c r="B1794" s="1" t="s">
        <v>46</v>
      </c>
      <c r="C1794" s="1" t="s">
        <v>47</v>
      </c>
      <c r="D1794" s="1"/>
      <c r="E1794" s="1" t="s">
        <v>7393</v>
      </c>
      <c r="F1794" s="1"/>
      <c r="G1794" s="1"/>
      <c r="H1794" s="1" t="s">
        <v>93</v>
      </c>
      <c r="I1794" s="1">
        <v>52500.0</v>
      </c>
      <c r="J1794" s="1"/>
      <c r="K1794" s="1" t="s">
        <v>140</v>
      </c>
      <c r="L1794" s="1"/>
      <c r="M1794" s="1" t="s">
        <v>7394</v>
      </c>
      <c r="N1794" s="1" t="s">
        <v>123</v>
      </c>
      <c r="O1794" s="1" t="s">
        <v>73</v>
      </c>
      <c r="P1794" s="2">
        <v>43762.5641782407</v>
      </c>
      <c r="Q1794" s="1" t="s">
        <v>74</v>
      </c>
      <c r="R1794" s="3">
        <v>43762.0</v>
      </c>
      <c r="S1794" s="1"/>
      <c r="T1794" s="1">
        <v>3506003.0</v>
      </c>
      <c r="U1794" s="1" t="s">
        <v>3175</v>
      </c>
      <c r="V1794" s="1" t="s">
        <v>58</v>
      </c>
      <c r="W1794" s="1" t="s">
        <v>59</v>
      </c>
      <c r="X1794" s="1"/>
      <c r="Y1794" s="1"/>
      <c r="Z1794" s="1" t="s">
        <v>76</v>
      </c>
      <c r="AA1794" s="1" t="s">
        <v>7395</v>
      </c>
      <c r="AB1794" s="1" t="str">
        <f>"***552168**"</f>
        <v>***552168**</v>
      </c>
      <c r="AC1794" s="1"/>
      <c r="AD1794" s="1" t="s">
        <v>62</v>
      </c>
      <c r="AE1794" s="1"/>
      <c r="AF1794" s="1">
        <v>-49.106667</v>
      </c>
      <c r="AG1794" s="1">
        <v>-22.304722</v>
      </c>
      <c r="AH1794" s="1" t="s">
        <v>7396</v>
      </c>
      <c r="AI1794" s="1"/>
      <c r="AJ1794" s="1" t="s">
        <v>64</v>
      </c>
      <c r="AK1794" s="1"/>
      <c r="AL1794" s="1"/>
      <c r="AM1794" s="1" t="s">
        <v>65</v>
      </c>
      <c r="AN1794" s="1"/>
      <c r="AO1794" s="1"/>
      <c r="AP1794" s="2">
        <v>43762.5787152778</v>
      </c>
      <c r="AQ1794" s="1"/>
      <c r="AR1794" s="1" t="s">
        <v>396</v>
      </c>
      <c r="AS1794" s="1"/>
      <c r="AT1794" s="2">
        <v>44269.931099537</v>
      </c>
    </row>
    <row r="1795" ht="13.5" customHeight="1">
      <c r="A1795" s="1">
        <v>2040240.0</v>
      </c>
      <c r="B1795" s="1" t="s">
        <v>67</v>
      </c>
      <c r="C1795" s="1" t="s">
        <v>68</v>
      </c>
      <c r="D1795" s="1" t="s">
        <v>46</v>
      </c>
      <c r="E1795" s="1" t="s">
        <v>7397</v>
      </c>
      <c r="F1795" s="1"/>
      <c r="G1795" s="1" t="s">
        <v>70</v>
      </c>
      <c r="H1795" s="1" t="s">
        <v>93</v>
      </c>
      <c r="I1795" s="1">
        <v>298215.81</v>
      </c>
      <c r="J1795" s="1"/>
      <c r="K1795" s="1"/>
      <c r="L1795" s="1" t="s">
        <v>371</v>
      </c>
      <c r="M1795" s="1" t="s">
        <v>7398</v>
      </c>
      <c r="N1795" s="1" t="s">
        <v>142</v>
      </c>
      <c r="O1795" s="1" t="s">
        <v>143</v>
      </c>
      <c r="P1795" s="2">
        <v>43762.5416666667</v>
      </c>
      <c r="Q1795" s="1" t="s">
        <v>373</v>
      </c>
      <c r="R1795" s="3">
        <v>43762.0</v>
      </c>
      <c r="S1795" s="1"/>
      <c r="T1795" s="1">
        <v>5201108.0</v>
      </c>
      <c r="U1795" s="1" t="s">
        <v>2686</v>
      </c>
      <c r="V1795" s="1" t="s">
        <v>375</v>
      </c>
      <c r="W1795" s="1" t="s">
        <v>177</v>
      </c>
      <c r="X1795" s="1"/>
      <c r="Y1795" s="1" t="str">
        <f>"02010004098201907"</f>
        <v>02010004098201907</v>
      </c>
      <c r="Z1795" s="1" t="s">
        <v>147</v>
      </c>
      <c r="AA1795" s="1" t="s">
        <v>7381</v>
      </c>
      <c r="AB1795" s="1" t="str">
        <f>"18550569000196"</f>
        <v>18550569000196</v>
      </c>
      <c r="AC1795" s="1"/>
      <c r="AD1795" s="1"/>
      <c r="AE1795" s="1"/>
      <c r="AF1795" s="1">
        <v>-48.975277</v>
      </c>
      <c r="AG1795" s="1">
        <v>-16.276945</v>
      </c>
      <c r="AH1795" s="1" t="s">
        <v>7399</v>
      </c>
      <c r="AI1795" s="1"/>
      <c r="AJ1795" s="1" t="s">
        <v>371</v>
      </c>
      <c r="AK1795" s="1"/>
      <c r="AL1795" s="1" t="s">
        <v>79</v>
      </c>
      <c r="AM1795" s="1" t="s">
        <v>65</v>
      </c>
      <c r="AN1795" s="1" t="s">
        <v>6461</v>
      </c>
      <c r="AO1795" s="2">
        <v>44118.0</v>
      </c>
      <c r="AP1795" s="2">
        <v>44118.4205324074</v>
      </c>
      <c r="AQ1795" s="1" t="s">
        <v>80</v>
      </c>
      <c r="AR1795" s="1" t="s">
        <v>379</v>
      </c>
      <c r="AS1795" s="1" t="s">
        <v>7400</v>
      </c>
      <c r="AT1795" s="2">
        <v>44269.931099537</v>
      </c>
    </row>
    <row r="1796" ht="13.5" customHeight="1">
      <c r="A1796" s="1"/>
      <c r="B1796" s="1" t="s">
        <v>46</v>
      </c>
      <c r="C1796" s="1" t="s">
        <v>47</v>
      </c>
      <c r="D1796" s="1"/>
      <c r="E1796" s="1" t="s">
        <v>7401</v>
      </c>
      <c r="F1796" s="1"/>
      <c r="G1796" s="1"/>
      <c r="H1796" s="1" t="s">
        <v>93</v>
      </c>
      <c r="I1796" s="1">
        <v>1500.0</v>
      </c>
      <c r="J1796" s="1"/>
      <c r="K1796" s="1" t="s">
        <v>140</v>
      </c>
      <c r="L1796" s="1"/>
      <c r="M1796" s="1" t="s">
        <v>7402</v>
      </c>
      <c r="N1796" s="1" t="s">
        <v>977</v>
      </c>
      <c r="O1796" s="1" t="s">
        <v>978</v>
      </c>
      <c r="P1796" s="2">
        <v>43762.5090856482</v>
      </c>
      <c r="Q1796" s="1" t="s">
        <v>55</v>
      </c>
      <c r="R1796" s="1"/>
      <c r="S1796" s="1"/>
      <c r="T1796" s="1">
        <v>5107925.0</v>
      </c>
      <c r="U1796" s="1" t="s">
        <v>7385</v>
      </c>
      <c r="V1796" s="1" t="s">
        <v>164</v>
      </c>
      <c r="W1796" s="1" t="s">
        <v>177</v>
      </c>
      <c r="X1796" s="1"/>
      <c r="Y1796" s="1"/>
      <c r="Z1796" s="1" t="s">
        <v>980</v>
      </c>
      <c r="AA1796" s="1" t="s">
        <v>7403</v>
      </c>
      <c r="AB1796" s="1" t="str">
        <f>"***655019**"</f>
        <v>***655019**</v>
      </c>
      <c r="AC1796" s="1"/>
      <c r="AD1796" s="1" t="s">
        <v>62</v>
      </c>
      <c r="AE1796" s="1"/>
      <c r="AF1796" s="1">
        <v>-55.811111</v>
      </c>
      <c r="AG1796" s="1">
        <v>-12.697778</v>
      </c>
      <c r="AH1796" s="1" t="s">
        <v>7404</v>
      </c>
      <c r="AI1796" s="1"/>
      <c r="AJ1796" s="1" t="s">
        <v>167</v>
      </c>
      <c r="AK1796" s="1"/>
      <c r="AL1796" s="1"/>
      <c r="AM1796" s="1" t="s">
        <v>65</v>
      </c>
      <c r="AN1796" s="1" t="s">
        <v>6985</v>
      </c>
      <c r="AO1796" s="1"/>
      <c r="AP1796" s="2">
        <v>43762.5206481482</v>
      </c>
      <c r="AQ1796" s="1"/>
      <c r="AR1796" s="1" t="s">
        <v>3544</v>
      </c>
      <c r="AS1796" s="1"/>
      <c r="AT1796" s="2">
        <v>44269.931099537</v>
      </c>
    </row>
    <row r="1797" ht="13.5" customHeight="1">
      <c r="A1797" s="1">
        <v>2041251.0</v>
      </c>
      <c r="B1797" s="1" t="s">
        <v>67</v>
      </c>
      <c r="C1797" s="1" t="s">
        <v>68</v>
      </c>
      <c r="D1797" s="1" t="s">
        <v>46</v>
      </c>
      <c r="E1797" s="1" t="s">
        <v>7405</v>
      </c>
      <c r="F1797" s="1"/>
      <c r="G1797" s="1" t="s">
        <v>70</v>
      </c>
      <c r="H1797" s="1" t="s">
        <v>50</v>
      </c>
      <c r="I1797" s="1">
        <v>220000.0</v>
      </c>
      <c r="J1797" s="1"/>
      <c r="K1797" s="1"/>
      <c r="L1797" s="1" t="s">
        <v>1172</v>
      </c>
      <c r="M1797" s="1" t="s">
        <v>7406</v>
      </c>
      <c r="N1797" s="1" t="s">
        <v>72</v>
      </c>
      <c r="O1797" s="1" t="s">
        <v>73</v>
      </c>
      <c r="P1797" s="2">
        <v>43762.5</v>
      </c>
      <c r="Q1797" s="1" t="s">
        <v>74</v>
      </c>
      <c r="R1797" s="3">
        <v>43780.0</v>
      </c>
      <c r="S1797" s="1"/>
      <c r="T1797" s="1">
        <v>1507300.0</v>
      </c>
      <c r="U1797" s="1" t="s">
        <v>3161</v>
      </c>
      <c r="V1797" s="1" t="s">
        <v>193</v>
      </c>
      <c r="W1797" s="1" t="s">
        <v>177</v>
      </c>
      <c r="X1797" s="1"/>
      <c r="Y1797" s="1"/>
      <c r="Z1797" s="1" t="s">
        <v>76</v>
      </c>
      <c r="AA1797" s="1" t="s">
        <v>7311</v>
      </c>
      <c r="AB1797" s="1" t="str">
        <f>"***585866**"</f>
        <v>***585866**</v>
      </c>
      <c r="AC1797" s="1"/>
      <c r="AD1797" s="1"/>
      <c r="AE1797" s="1"/>
      <c r="AF1797" s="1">
        <v>-51.207222</v>
      </c>
      <c r="AG1797" s="1">
        <v>-5.487778</v>
      </c>
      <c r="AH1797" s="1" t="s">
        <v>7312</v>
      </c>
      <c r="AI1797" s="1"/>
      <c r="AJ1797" s="1" t="s">
        <v>1172</v>
      </c>
      <c r="AK1797" s="1"/>
      <c r="AL1797" s="1" t="s">
        <v>79</v>
      </c>
      <c r="AM1797" s="1" t="s">
        <v>65</v>
      </c>
      <c r="AN1797" s="1" t="s">
        <v>6919</v>
      </c>
      <c r="AO1797" s="2">
        <v>44159.0</v>
      </c>
      <c r="AP1797" s="2">
        <v>44159.3966319444</v>
      </c>
      <c r="AQ1797" s="1" t="s">
        <v>80</v>
      </c>
      <c r="AR1797" s="1" t="s">
        <v>1607</v>
      </c>
      <c r="AS1797" s="1"/>
      <c r="AT1797" s="2">
        <v>44269.931099537</v>
      </c>
    </row>
    <row r="1798" ht="13.5" customHeight="1">
      <c r="A1798" s="1">
        <v>2035583.0</v>
      </c>
      <c r="B1798" s="1" t="s">
        <v>67</v>
      </c>
      <c r="C1798" s="1" t="s">
        <v>68</v>
      </c>
      <c r="D1798" s="1" t="s">
        <v>46</v>
      </c>
      <c r="E1798" s="1" t="s">
        <v>7407</v>
      </c>
      <c r="F1798" s="1"/>
      <c r="G1798" s="1" t="s">
        <v>70</v>
      </c>
      <c r="H1798" s="1" t="s">
        <v>93</v>
      </c>
      <c r="I1798" s="1">
        <v>143000.0</v>
      </c>
      <c r="J1798" s="1"/>
      <c r="K1798" s="1"/>
      <c r="L1798" s="1" t="s">
        <v>358</v>
      </c>
      <c r="M1798" s="1" t="s">
        <v>7408</v>
      </c>
      <c r="N1798" s="1" t="s">
        <v>142</v>
      </c>
      <c r="O1798" s="1" t="s">
        <v>143</v>
      </c>
      <c r="P1798" s="2">
        <v>43762.4583333333</v>
      </c>
      <c r="Q1798" s="1" t="s">
        <v>373</v>
      </c>
      <c r="R1798" s="3">
        <v>43762.0</v>
      </c>
      <c r="S1798" s="1"/>
      <c r="T1798" s="1">
        <v>4121752.0</v>
      </c>
      <c r="U1798" s="1" t="s">
        <v>7365</v>
      </c>
      <c r="V1798" s="1" t="s">
        <v>176</v>
      </c>
      <c r="W1798" s="1" t="s">
        <v>59</v>
      </c>
      <c r="X1798" s="1"/>
      <c r="Y1798" s="1" t="str">
        <f>"02017000263202017"</f>
        <v>02017000263202017</v>
      </c>
      <c r="Z1798" s="1" t="s">
        <v>147</v>
      </c>
      <c r="AA1798" s="1" t="s">
        <v>7409</v>
      </c>
      <c r="AB1798" s="1" t="str">
        <f>"***695379**"</f>
        <v>***695379**</v>
      </c>
      <c r="AC1798" s="1"/>
      <c r="AD1798" s="1"/>
      <c r="AE1798" s="1"/>
      <c r="AF1798" s="1">
        <v>-51.994724</v>
      </c>
      <c r="AG1798" s="1">
        <v>-25.999166</v>
      </c>
      <c r="AH1798" s="1" t="s">
        <v>7410</v>
      </c>
      <c r="AI1798" s="1"/>
      <c r="AJ1798" s="1" t="s">
        <v>358</v>
      </c>
      <c r="AK1798" s="1"/>
      <c r="AL1798" s="1" t="s">
        <v>79</v>
      </c>
      <c r="AM1798" s="1" t="s">
        <v>65</v>
      </c>
      <c r="AN1798" s="1" t="s">
        <v>1696</v>
      </c>
      <c r="AO1798" s="2">
        <v>43909.0</v>
      </c>
      <c r="AP1798" s="2">
        <v>43909.4593634259</v>
      </c>
      <c r="AQ1798" s="1" t="s">
        <v>80</v>
      </c>
      <c r="AR1798" s="1" t="s">
        <v>5582</v>
      </c>
      <c r="AS1798" s="1"/>
      <c r="AT1798" s="2">
        <v>44269.931099537</v>
      </c>
    </row>
    <row r="1799" ht="13.5" customHeight="1">
      <c r="A1799" s="1"/>
      <c r="B1799" s="1" t="s">
        <v>46</v>
      </c>
      <c r="C1799" s="1" t="s">
        <v>47</v>
      </c>
      <c r="D1799" s="1"/>
      <c r="E1799" s="1" t="s">
        <v>7411</v>
      </c>
      <c r="F1799" s="1"/>
      <c r="G1799" s="1" t="s">
        <v>49</v>
      </c>
      <c r="H1799" s="1" t="s">
        <v>93</v>
      </c>
      <c r="I1799" s="1">
        <v>13733.7</v>
      </c>
      <c r="J1799" s="1"/>
      <c r="K1799" s="1"/>
      <c r="L1799" s="1"/>
      <c r="M1799" s="1" t="s">
        <v>7412</v>
      </c>
      <c r="N1799" s="1" t="s">
        <v>142</v>
      </c>
      <c r="O1799" s="1" t="s">
        <v>143</v>
      </c>
      <c r="P1799" s="2">
        <v>43762.4226851852</v>
      </c>
      <c r="Q1799" s="1" t="s">
        <v>74</v>
      </c>
      <c r="R1799" s="1"/>
      <c r="S1799" s="1"/>
      <c r="T1799" s="1">
        <v>1600501.0</v>
      </c>
      <c r="U1799" s="1" t="s">
        <v>1005</v>
      </c>
      <c r="V1799" s="1" t="s">
        <v>797</v>
      </c>
      <c r="W1799" s="1" t="s">
        <v>177</v>
      </c>
      <c r="X1799" s="1"/>
      <c r="Y1799" s="1"/>
      <c r="Z1799" s="1" t="s">
        <v>147</v>
      </c>
      <c r="AA1799" s="1" t="s">
        <v>7413</v>
      </c>
      <c r="AB1799" s="1" t="str">
        <f>"07571471000107"</f>
        <v>07571471000107</v>
      </c>
      <c r="AC1799" s="1"/>
      <c r="AD1799" s="1" t="s">
        <v>149</v>
      </c>
      <c r="AE1799" s="1"/>
      <c r="AF1799" s="1">
        <v>-51.823055</v>
      </c>
      <c r="AG1799" s="1">
        <v>3.861667</v>
      </c>
      <c r="AH1799" s="1" t="s">
        <v>7414</v>
      </c>
      <c r="AI1799" s="1"/>
      <c r="AJ1799" s="1" t="s">
        <v>800</v>
      </c>
      <c r="AK1799" s="1"/>
      <c r="AL1799" s="1"/>
      <c r="AM1799" s="1" t="s">
        <v>65</v>
      </c>
      <c r="AN1799" s="1" t="s">
        <v>7415</v>
      </c>
      <c r="AO1799" s="1"/>
      <c r="AP1799" s="2">
        <v>43817.380462963</v>
      </c>
      <c r="AQ1799" s="1"/>
      <c r="AR1799" s="1" t="s">
        <v>399</v>
      </c>
      <c r="AS1799" s="1"/>
      <c r="AT1799" s="2">
        <v>44269.931099537</v>
      </c>
    </row>
    <row r="1800" ht="13.5" customHeight="1">
      <c r="A1800" s="1">
        <v>2035378.0</v>
      </c>
      <c r="B1800" s="1" t="s">
        <v>67</v>
      </c>
      <c r="C1800" s="1" t="s">
        <v>68</v>
      </c>
      <c r="D1800" s="1" t="s">
        <v>46</v>
      </c>
      <c r="E1800" s="1" t="s">
        <v>7416</v>
      </c>
      <c r="F1800" s="1"/>
      <c r="G1800" s="1" t="s">
        <v>70</v>
      </c>
      <c r="H1800" s="1" t="s">
        <v>93</v>
      </c>
      <c r="I1800" s="1">
        <v>607500.0</v>
      </c>
      <c r="J1800" s="1"/>
      <c r="K1800" s="1"/>
      <c r="L1800" s="1" t="s">
        <v>172</v>
      </c>
      <c r="M1800" s="1" t="s">
        <v>7417</v>
      </c>
      <c r="N1800" s="1" t="s">
        <v>142</v>
      </c>
      <c r="O1800" s="1" t="s">
        <v>143</v>
      </c>
      <c r="P1800" s="2">
        <v>43762.4166666667</v>
      </c>
      <c r="Q1800" s="1" t="s">
        <v>74</v>
      </c>
      <c r="R1800" s="3">
        <v>43761.0</v>
      </c>
      <c r="S1800" s="1"/>
      <c r="T1800" s="1">
        <v>5106158.0</v>
      </c>
      <c r="U1800" s="1" t="s">
        <v>1700</v>
      </c>
      <c r="V1800" s="1" t="s">
        <v>164</v>
      </c>
      <c r="W1800" s="1" t="s">
        <v>177</v>
      </c>
      <c r="X1800" s="1"/>
      <c r="Y1800" s="1" t="str">
        <f>"02001006608202015"</f>
        <v>02001006608202015</v>
      </c>
      <c r="Z1800" s="1" t="s">
        <v>147</v>
      </c>
      <c r="AA1800" s="1" t="s">
        <v>7418</v>
      </c>
      <c r="AB1800" s="1" t="str">
        <f>"***816171**"</f>
        <v>***816171**</v>
      </c>
      <c r="AC1800" s="1"/>
      <c r="AD1800" s="1"/>
      <c r="AE1800" s="1"/>
      <c r="AF1800" s="1">
        <v>-57.911392</v>
      </c>
      <c r="AG1800" s="1">
        <v>-10.030277</v>
      </c>
      <c r="AH1800" s="1" t="s">
        <v>7419</v>
      </c>
      <c r="AI1800" s="1"/>
      <c r="AJ1800" s="1" t="s">
        <v>172</v>
      </c>
      <c r="AK1800" s="1"/>
      <c r="AL1800" s="1" t="s">
        <v>79</v>
      </c>
      <c r="AM1800" s="1" t="s">
        <v>65</v>
      </c>
      <c r="AN1800" s="1" t="s">
        <v>6258</v>
      </c>
      <c r="AO1800" s="2">
        <v>43901.0</v>
      </c>
      <c r="AP1800" s="2">
        <v>43901.6637037037</v>
      </c>
      <c r="AQ1800" s="1" t="s">
        <v>80</v>
      </c>
      <c r="AR1800" s="1" t="s">
        <v>636</v>
      </c>
      <c r="AS1800" s="1"/>
      <c r="AT1800" s="2">
        <v>44269.931099537</v>
      </c>
    </row>
    <row r="1801" ht="13.5" customHeight="1">
      <c r="A1801" s="1">
        <v>2035884.0</v>
      </c>
      <c r="B1801" s="1" t="s">
        <v>67</v>
      </c>
      <c r="C1801" s="1" t="s">
        <v>68</v>
      </c>
      <c r="D1801" s="1" t="s">
        <v>46</v>
      </c>
      <c r="E1801" s="1" t="s">
        <v>7420</v>
      </c>
      <c r="F1801" s="1"/>
      <c r="G1801" s="1" t="s">
        <v>70</v>
      </c>
      <c r="H1801" s="1" t="s">
        <v>93</v>
      </c>
      <c r="I1801" s="1">
        <v>3405000.0</v>
      </c>
      <c r="J1801" s="1"/>
      <c r="K1801" s="1"/>
      <c r="L1801" s="1" t="s">
        <v>172</v>
      </c>
      <c r="M1801" s="1" t="s">
        <v>7421</v>
      </c>
      <c r="N1801" s="1" t="s">
        <v>142</v>
      </c>
      <c r="O1801" s="1" t="s">
        <v>143</v>
      </c>
      <c r="P1801" s="2">
        <v>43762.4166666667</v>
      </c>
      <c r="Q1801" s="1" t="s">
        <v>74</v>
      </c>
      <c r="R1801" s="3">
        <v>43762.0</v>
      </c>
      <c r="S1801" s="1"/>
      <c r="T1801" s="1">
        <v>1500859.0</v>
      </c>
      <c r="U1801" s="1" t="s">
        <v>3491</v>
      </c>
      <c r="V1801" s="1" t="s">
        <v>193</v>
      </c>
      <c r="W1801" s="1" t="s">
        <v>177</v>
      </c>
      <c r="X1801" s="1"/>
      <c r="Y1801" s="1" t="str">
        <f>"02001009145202043"</f>
        <v>02001009145202043</v>
      </c>
      <c r="Z1801" s="1" t="s">
        <v>147</v>
      </c>
      <c r="AA1801" s="1" t="s">
        <v>7422</v>
      </c>
      <c r="AB1801" s="1" t="str">
        <f>"***098182**"</f>
        <v>***098182**</v>
      </c>
      <c r="AC1801" s="1"/>
      <c r="AD1801" s="1"/>
      <c r="AE1801" s="1"/>
      <c r="AF1801" s="1">
        <v>-51.111389</v>
      </c>
      <c r="AG1801" s="1">
        <v>-5.208055</v>
      </c>
      <c r="AH1801" s="1" t="s">
        <v>7423</v>
      </c>
      <c r="AI1801" s="1"/>
      <c r="AJ1801" s="1" t="s">
        <v>172</v>
      </c>
      <c r="AK1801" s="1"/>
      <c r="AL1801" s="1" t="s">
        <v>79</v>
      </c>
      <c r="AM1801" s="1" t="s">
        <v>65</v>
      </c>
      <c r="AN1801" s="1" t="s">
        <v>2164</v>
      </c>
      <c r="AO1801" s="2">
        <v>43921.0</v>
      </c>
      <c r="AP1801" s="2">
        <v>43921.7212152778</v>
      </c>
      <c r="AQ1801" s="1" t="s">
        <v>80</v>
      </c>
      <c r="AR1801" s="1" t="s">
        <v>650</v>
      </c>
      <c r="AS1801" s="1"/>
      <c r="AT1801" s="2">
        <v>44269.931099537</v>
      </c>
    </row>
    <row r="1802" ht="13.5" customHeight="1">
      <c r="A1802" s="1">
        <v>2043044.0</v>
      </c>
      <c r="B1802" s="1" t="s">
        <v>67</v>
      </c>
      <c r="C1802" s="1" t="s">
        <v>68</v>
      </c>
      <c r="D1802" s="1" t="s">
        <v>46</v>
      </c>
      <c r="E1802" s="1" t="s">
        <v>7424</v>
      </c>
      <c r="F1802" s="1"/>
      <c r="G1802" s="1" t="s">
        <v>70</v>
      </c>
      <c r="H1802" s="1" t="s">
        <v>93</v>
      </c>
      <c r="I1802" s="1">
        <v>9332.4</v>
      </c>
      <c r="J1802" s="1"/>
      <c r="K1802" s="1"/>
      <c r="L1802" s="1" t="s">
        <v>898</v>
      </c>
      <c r="M1802" s="1" t="s">
        <v>7425</v>
      </c>
      <c r="N1802" s="1" t="s">
        <v>142</v>
      </c>
      <c r="O1802" s="1" t="s">
        <v>143</v>
      </c>
      <c r="P1802" s="2">
        <v>43762.4166666667</v>
      </c>
      <c r="Q1802" s="1" t="s">
        <v>373</v>
      </c>
      <c r="R1802" s="3">
        <v>43762.0</v>
      </c>
      <c r="S1802" s="1"/>
      <c r="T1802" s="1">
        <v>2211308.0</v>
      </c>
      <c r="U1802" s="1" t="s">
        <v>3019</v>
      </c>
      <c r="V1802" s="1" t="s">
        <v>895</v>
      </c>
      <c r="W1802" s="1" t="s">
        <v>113</v>
      </c>
      <c r="X1802" s="1"/>
      <c r="Y1802" s="1" t="str">
        <f>"02020002998201992"</f>
        <v>02020002998201992</v>
      </c>
      <c r="Z1802" s="1" t="s">
        <v>147</v>
      </c>
      <c r="AA1802" s="1" t="s">
        <v>7426</v>
      </c>
      <c r="AB1802" s="1" t="str">
        <f>"13382549000130"</f>
        <v>13382549000130</v>
      </c>
      <c r="AC1802" s="1"/>
      <c r="AD1802" s="1"/>
      <c r="AE1802" s="1"/>
      <c r="AF1802" s="1">
        <v>-41.411114</v>
      </c>
      <c r="AG1802" s="1">
        <v>-7.078889</v>
      </c>
      <c r="AH1802" s="1" t="s">
        <v>7427</v>
      </c>
      <c r="AI1802" s="1"/>
      <c r="AJ1802" s="1" t="s">
        <v>898</v>
      </c>
      <c r="AK1802" s="1"/>
      <c r="AL1802" s="1" t="s">
        <v>79</v>
      </c>
      <c r="AM1802" s="1" t="s">
        <v>65</v>
      </c>
      <c r="AN1802" s="1" t="s">
        <v>7428</v>
      </c>
      <c r="AO1802" s="2">
        <v>44225.0</v>
      </c>
      <c r="AP1802" s="2">
        <v>44225.7104166667</v>
      </c>
      <c r="AQ1802" s="1" t="s">
        <v>80</v>
      </c>
      <c r="AR1802" s="1" t="s">
        <v>181</v>
      </c>
      <c r="AS1802" s="1"/>
      <c r="AT1802" s="2">
        <v>44269.931099537</v>
      </c>
    </row>
    <row r="1803" ht="13.5" customHeight="1">
      <c r="A1803" s="1">
        <v>2035036.0</v>
      </c>
      <c r="B1803" s="1" t="s">
        <v>67</v>
      </c>
      <c r="C1803" s="1" t="s">
        <v>68</v>
      </c>
      <c r="D1803" s="1" t="s">
        <v>46</v>
      </c>
      <c r="E1803" s="1" t="s">
        <v>7429</v>
      </c>
      <c r="F1803" s="1"/>
      <c r="G1803" s="1" t="s">
        <v>70</v>
      </c>
      <c r="H1803" s="1" t="s">
        <v>93</v>
      </c>
      <c r="I1803" s="1">
        <v>100000.0</v>
      </c>
      <c r="J1803" s="1"/>
      <c r="K1803" s="1"/>
      <c r="L1803" s="1" t="s">
        <v>765</v>
      </c>
      <c r="M1803" s="1" t="s">
        <v>7430</v>
      </c>
      <c r="N1803" s="1" t="s">
        <v>72</v>
      </c>
      <c r="O1803" s="1" t="s">
        <v>73</v>
      </c>
      <c r="P1803" s="2">
        <v>43762.375</v>
      </c>
      <c r="Q1803" s="1" t="s">
        <v>74</v>
      </c>
      <c r="R1803" s="3">
        <v>43809.0</v>
      </c>
      <c r="S1803" s="1"/>
      <c r="T1803" s="1">
        <v>1506005.0</v>
      </c>
      <c r="U1803" s="1" t="s">
        <v>1143</v>
      </c>
      <c r="V1803" s="1" t="s">
        <v>193</v>
      </c>
      <c r="W1803" s="1" t="s">
        <v>177</v>
      </c>
      <c r="X1803" s="1"/>
      <c r="Y1803" s="1" t="str">
        <f>"02048001997201912"</f>
        <v>02048001997201912</v>
      </c>
      <c r="Z1803" s="1" t="s">
        <v>76</v>
      </c>
      <c r="AA1803" s="1" t="s">
        <v>7431</v>
      </c>
      <c r="AB1803" s="1" t="str">
        <f>"***624032**"</f>
        <v>***624032**</v>
      </c>
      <c r="AC1803" s="1"/>
      <c r="AD1803" s="1"/>
      <c r="AE1803" s="1"/>
      <c r="AF1803" s="1">
        <v>-53.704166</v>
      </c>
      <c r="AG1803" s="1">
        <v>-2.699167</v>
      </c>
      <c r="AH1803" s="1" t="s">
        <v>7432</v>
      </c>
      <c r="AI1803" s="1"/>
      <c r="AJ1803" s="1" t="s">
        <v>765</v>
      </c>
      <c r="AK1803" s="1"/>
      <c r="AL1803" s="1" t="s">
        <v>79</v>
      </c>
      <c r="AM1803" s="1" t="s">
        <v>65</v>
      </c>
      <c r="AN1803" s="1" t="s">
        <v>1146</v>
      </c>
      <c r="AO1803" s="2">
        <v>43894.0</v>
      </c>
      <c r="AP1803" s="2">
        <v>43894.3827777778</v>
      </c>
      <c r="AQ1803" s="1" t="s">
        <v>80</v>
      </c>
      <c r="AR1803" s="1" t="s">
        <v>81</v>
      </c>
      <c r="AS1803" s="1"/>
      <c r="AT1803" s="2">
        <v>44269.931099537</v>
      </c>
    </row>
    <row r="1804" ht="13.5" customHeight="1">
      <c r="A1804" s="1">
        <v>2035581.0</v>
      </c>
      <c r="B1804" s="1" t="s">
        <v>67</v>
      </c>
      <c r="C1804" s="1" t="s">
        <v>68</v>
      </c>
      <c r="D1804" s="1" t="s">
        <v>46</v>
      </c>
      <c r="E1804" s="1" t="s">
        <v>7433</v>
      </c>
      <c r="F1804" s="1"/>
      <c r="G1804" s="1" t="s">
        <v>70</v>
      </c>
      <c r="H1804" s="1" t="s">
        <v>93</v>
      </c>
      <c r="I1804" s="1">
        <v>567000.0</v>
      </c>
      <c r="J1804" s="1"/>
      <c r="K1804" s="1"/>
      <c r="L1804" s="1" t="s">
        <v>358</v>
      </c>
      <c r="M1804" s="1" t="s">
        <v>7434</v>
      </c>
      <c r="N1804" s="1" t="s">
        <v>142</v>
      </c>
      <c r="O1804" s="1" t="s">
        <v>143</v>
      </c>
      <c r="P1804" s="2">
        <v>43762.375</v>
      </c>
      <c r="Q1804" s="1" t="s">
        <v>74</v>
      </c>
      <c r="R1804" s="3">
        <v>43761.0</v>
      </c>
      <c r="S1804" s="1"/>
      <c r="T1804" s="1">
        <v>4119301.0</v>
      </c>
      <c r="U1804" s="1" t="s">
        <v>5798</v>
      </c>
      <c r="V1804" s="1" t="s">
        <v>176</v>
      </c>
      <c r="W1804" s="1" t="s">
        <v>59</v>
      </c>
      <c r="X1804" s="1"/>
      <c r="Y1804" s="1" t="str">
        <f>"02017000261202028"</f>
        <v>02017000261202028</v>
      </c>
      <c r="Z1804" s="1" t="s">
        <v>147</v>
      </c>
      <c r="AA1804" s="1" t="s">
        <v>7435</v>
      </c>
      <c r="AB1804" s="1" t="str">
        <f>"***324609**"</f>
        <v>***324609**</v>
      </c>
      <c r="AC1804" s="1"/>
      <c r="AD1804" s="1"/>
      <c r="AE1804" s="1"/>
      <c r="AF1804" s="1">
        <v>-51.968056</v>
      </c>
      <c r="AG1804" s="1">
        <v>-25.968056</v>
      </c>
      <c r="AH1804" s="1" t="s">
        <v>7436</v>
      </c>
      <c r="AI1804" s="1"/>
      <c r="AJ1804" s="1" t="s">
        <v>358</v>
      </c>
      <c r="AK1804" s="1"/>
      <c r="AL1804" s="1" t="s">
        <v>79</v>
      </c>
      <c r="AM1804" s="1" t="s">
        <v>65</v>
      </c>
      <c r="AN1804" s="1" t="s">
        <v>1696</v>
      </c>
      <c r="AO1804" s="2">
        <v>43909.0</v>
      </c>
      <c r="AP1804" s="2">
        <v>43909.4591319445</v>
      </c>
      <c r="AQ1804" s="1" t="s">
        <v>80</v>
      </c>
      <c r="AR1804" s="1" t="s">
        <v>5801</v>
      </c>
      <c r="AS1804" s="1"/>
      <c r="AT1804" s="2">
        <v>44269.931099537</v>
      </c>
    </row>
    <row r="1805" ht="13.5" customHeight="1">
      <c r="A1805" s="1">
        <v>2035907.0</v>
      </c>
      <c r="B1805" s="1" t="s">
        <v>67</v>
      </c>
      <c r="C1805" s="1" t="s">
        <v>68</v>
      </c>
      <c r="D1805" s="1" t="s">
        <v>46</v>
      </c>
      <c r="E1805" s="1" t="s">
        <v>7437</v>
      </c>
      <c r="F1805" s="1"/>
      <c r="G1805" s="1" t="s">
        <v>70</v>
      </c>
      <c r="H1805" s="1" t="s">
        <v>93</v>
      </c>
      <c r="I1805" s="1">
        <v>9000.0</v>
      </c>
      <c r="J1805" s="1"/>
      <c r="K1805" s="1"/>
      <c r="L1805" s="1" t="s">
        <v>172</v>
      </c>
      <c r="M1805" s="1" t="s">
        <v>7438</v>
      </c>
      <c r="N1805" s="1" t="s">
        <v>283</v>
      </c>
      <c r="O1805" s="1" t="s">
        <v>1364</v>
      </c>
      <c r="P1805" s="2">
        <v>43762.375</v>
      </c>
      <c r="Q1805" s="1" t="s">
        <v>74</v>
      </c>
      <c r="R1805" s="3">
        <v>43761.0</v>
      </c>
      <c r="S1805" s="1"/>
      <c r="T1805" s="1">
        <v>1302405.0</v>
      </c>
      <c r="U1805" s="1" t="s">
        <v>2258</v>
      </c>
      <c r="V1805" s="1" t="s">
        <v>486</v>
      </c>
      <c r="W1805" s="1" t="s">
        <v>177</v>
      </c>
      <c r="X1805" s="1"/>
      <c r="Y1805" s="1" t="str">
        <f>"02001009258202049"</f>
        <v>02001009258202049</v>
      </c>
      <c r="Z1805" s="1" t="s">
        <v>128</v>
      </c>
      <c r="AA1805" s="1" t="s">
        <v>7439</v>
      </c>
      <c r="AB1805" s="1" t="str">
        <f>"***473995**"</f>
        <v>***473995**</v>
      </c>
      <c r="AC1805" s="1"/>
      <c r="AD1805" s="1"/>
      <c r="AE1805" s="1"/>
      <c r="AF1805" s="1">
        <v>-65.580833</v>
      </c>
      <c r="AG1805" s="1">
        <v>-9.335278</v>
      </c>
      <c r="AH1805" s="1" t="s">
        <v>7440</v>
      </c>
      <c r="AI1805" s="1"/>
      <c r="AJ1805" s="1" t="s">
        <v>172</v>
      </c>
      <c r="AK1805" s="1"/>
      <c r="AL1805" s="1" t="s">
        <v>79</v>
      </c>
      <c r="AM1805" s="1" t="s">
        <v>65</v>
      </c>
      <c r="AN1805" s="1" t="s">
        <v>6258</v>
      </c>
      <c r="AO1805" s="2">
        <v>43923.0</v>
      </c>
      <c r="AP1805" s="2">
        <v>43923.3906944444</v>
      </c>
      <c r="AQ1805" s="1" t="s">
        <v>80</v>
      </c>
      <c r="AR1805" s="1" t="s">
        <v>6654</v>
      </c>
      <c r="AS1805" s="1"/>
      <c r="AT1805" s="2">
        <v>44269.931099537</v>
      </c>
    </row>
    <row r="1806" ht="13.5" customHeight="1">
      <c r="A1806" s="1">
        <v>2039409.0</v>
      </c>
      <c r="B1806" s="1" t="s">
        <v>67</v>
      </c>
      <c r="C1806" s="1" t="s">
        <v>68</v>
      </c>
      <c r="D1806" s="1" t="s">
        <v>46</v>
      </c>
      <c r="E1806" s="1" t="s">
        <v>7441</v>
      </c>
      <c r="F1806" s="1"/>
      <c r="G1806" s="1" t="s">
        <v>70</v>
      </c>
      <c r="H1806" s="1" t="s">
        <v>93</v>
      </c>
      <c r="I1806" s="1">
        <v>10000.0</v>
      </c>
      <c r="J1806" s="1"/>
      <c r="K1806" s="1"/>
      <c r="L1806" s="1" t="s">
        <v>628</v>
      </c>
      <c r="M1806" s="1" t="s">
        <v>7442</v>
      </c>
      <c r="N1806" s="1" t="s">
        <v>95</v>
      </c>
      <c r="O1806" s="1" t="s">
        <v>96</v>
      </c>
      <c r="P1806" s="2">
        <v>43762.375</v>
      </c>
      <c r="Q1806" s="1" t="s">
        <v>373</v>
      </c>
      <c r="R1806" s="3">
        <v>43762.0</v>
      </c>
      <c r="S1806" s="1"/>
      <c r="T1806" s="1">
        <v>2911303.0</v>
      </c>
      <c r="U1806" s="1" t="s">
        <v>7443</v>
      </c>
      <c r="V1806" s="1" t="s">
        <v>632</v>
      </c>
      <c r="W1806" s="1" t="s">
        <v>113</v>
      </c>
      <c r="X1806" s="1"/>
      <c r="Y1806" s="1" t="str">
        <f>"02006001123202095"</f>
        <v>02006001123202095</v>
      </c>
      <c r="Z1806" s="1" t="s">
        <v>98</v>
      </c>
      <c r="AA1806" s="1" t="s">
        <v>7444</v>
      </c>
      <c r="AB1806" s="1" t="str">
        <f>"***310735**"</f>
        <v>***310735**</v>
      </c>
      <c r="AC1806" s="1"/>
      <c r="AD1806" s="1"/>
      <c r="AE1806" s="1"/>
      <c r="AF1806" s="1">
        <v>-42.734722</v>
      </c>
      <c r="AG1806" s="1">
        <v>-11.412222</v>
      </c>
      <c r="AH1806" s="1" t="s">
        <v>7445</v>
      </c>
      <c r="AI1806" s="1"/>
      <c r="AJ1806" s="1" t="s">
        <v>628</v>
      </c>
      <c r="AK1806" s="1"/>
      <c r="AL1806" s="1" t="s">
        <v>79</v>
      </c>
      <c r="AM1806" s="1" t="s">
        <v>65</v>
      </c>
      <c r="AN1806" s="1" t="s">
        <v>152</v>
      </c>
      <c r="AO1806" s="2">
        <v>44061.0</v>
      </c>
      <c r="AP1806" s="2">
        <v>44061.7806944444</v>
      </c>
      <c r="AQ1806" s="1" t="s">
        <v>80</v>
      </c>
      <c r="AR1806" s="1" t="s">
        <v>683</v>
      </c>
      <c r="AS1806" s="1"/>
      <c r="AT1806" s="2">
        <v>44269.931099537</v>
      </c>
    </row>
    <row r="1807" ht="13.5" customHeight="1">
      <c r="A1807" s="1"/>
      <c r="B1807" s="1" t="s">
        <v>46</v>
      </c>
      <c r="C1807" s="1" t="s">
        <v>47</v>
      </c>
      <c r="D1807" s="1"/>
      <c r="E1807" s="1" t="s">
        <v>7446</v>
      </c>
      <c r="F1807" s="1"/>
      <c r="G1807" s="1"/>
      <c r="H1807" s="1" t="s">
        <v>93</v>
      </c>
      <c r="I1807" s="1">
        <v>6500.0</v>
      </c>
      <c r="J1807" s="1"/>
      <c r="K1807" s="1" t="s">
        <v>140</v>
      </c>
      <c r="L1807" s="1"/>
      <c r="M1807" s="1" t="s">
        <v>7447</v>
      </c>
      <c r="N1807" s="1" t="s">
        <v>977</v>
      </c>
      <c r="O1807" s="1" t="s">
        <v>978</v>
      </c>
      <c r="P1807" s="2">
        <v>43762.3623611111</v>
      </c>
      <c r="Q1807" s="1" t="s">
        <v>55</v>
      </c>
      <c r="R1807" s="1"/>
      <c r="S1807" s="1"/>
      <c r="T1807" s="1">
        <v>5107925.0</v>
      </c>
      <c r="U1807" s="1" t="s">
        <v>7385</v>
      </c>
      <c r="V1807" s="1" t="s">
        <v>164</v>
      </c>
      <c r="W1807" s="1" t="s">
        <v>177</v>
      </c>
      <c r="X1807" s="1"/>
      <c r="Y1807" s="1"/>
      <c r="Z1807" s="1" t="s">
        <v>980</v>
      </c>
      <c r="AA1807" s="1" t="s">
        <v>7448</v>
      </c>
      <c r="AB1807" s="1" t="str">
        <f>"06088741000900"</f>
        <v>06088741000900</v>
      </c>
      <c r="AC1807" s="1"/>
      <c r="AD1807" s="1" t="s">
        <v>62</v>
      </c>
      <c r="AE1807" s="1"/>
      <c r="AF1807" s="1">
        <v>-55.811111</v>
      </c>
      <c r="AG1807" s="1">
        <v>-12.697778</v>
      </c>
      <c r="AH1807" s="1" t="s">
        <v>7404</v>
      </c>
      <c r="AI1807" s="1"/>
      <c r="AJ1807" s="1" t="s">
        <v>167</v>
      </c>
      <c r="AK1807" s="1"/>
      <c r="AL1807" s="1"/>
      <c r="AM1807" s="1" t="s">
        <v>65</v>
      </c>
      <c r="AN1807" s="1" t="s">
        <v>6985</v>
      </c>
      <c r="AO1807" s="1"/>
      <c r="AP1807" s="2">
        <v>43762.3796643519</v>
      </c>
      <c r="AQ1807" s="1"/>
      <c r="AR1807" s="1" t="s">
        <v>3544</v>
      </c>
      <c r="AS1807" s="1"/>
      <c r="AT1807" s="2">
        <v>44269.931099537</v>
      </c>
    </row>
    <row r="1808" ht="13.5" customHeight="1">
      <c r="A1808" s="1">
        <v>2035551.0</v>
      </c>
      <c r="B1808" s="1" t="s">
        <v>67</v>
      </c>
      <c r="C1808" s="1" t="s">
        <v>68</v>
      </c>
      <c r="D1808" s="1" t="s">
        <v>46</v>
      </c>
      <c r="E1808" s="1" t="s">
        <v>7449</v>
      </c>
      <c r="F1808" s="1"/>
      <c r="G1808" s="1" t="s">
        <v>70</v>
      </c>
      <c r="H1808" s="1" t="s">
        <v>93</v>
      </c>
      <c r="I1808" s="1">
        <v>11500.0</v>
      </c>
      <c r="J1808" s="1"/>
      <c r="K1808" s="1"/>
      <c r="L1808" s="1" t="s">
        <v>628</v>
      </c>
      <c r="M1808" s="1" t="s">
        <v>7450</v>
      </c>
      <c r="N1808" s="1" t="s">
        <v>95</v>
      </c>
      <c r="O1808" s="1" t="s">
        <v>96</v>
      </c>
      <c r="P1808" s="2">
        <v>43762.3333333333</v>
      </c>
      <c r="Q1808" s="1" t="s">
        <v>373</v>
      </c>
      <c r="R1808" s="3">
        <v>43762.0</v>
      </c>
      <c r="S1808" s="1"/>
      <c r="T1808" s="1">
        <v>2933604.0</v>
      </c>
      <c r="U1808" s="1" t="s">
        <v>7243</v>
      </c>
      <c r="V1808" s="1" t="s">
        <v>632</v>
      </c>
      <c r="W1808" s="1" t="s">
        <v>113</v>
      </c>
      <c r="X1808" s="1"/>
      <c r="Y1808" s="1" t="str">
        <f>"02006000547202032"</f>
        <v>02006000547202032</v>
      </c>
      <c r="Z1808" s="1" t="s">
        <v>98</v>
      </c>
      <c r="AA1808" s="1" t="s">
        <v>7451</v>
      </c>
      <c r="AB1808" s="1" t="str">
        <f>"***583958**"</f>
        <v>***583958**</v>
      </c>
      <c r="AC1808" s="1"/>
      <c r="AD1808" s="1"/>
      <c r="AE1808" s="1"/>
      <c r="AF1808" s="1">
        <v>-42.731113</v>
      </c>
      <c r="AG1808" s="1">
        <v>-10.847222</v>
      </c>
      <c r="AH1808" s="1" t="s">
        <v>7452</v>
      </c>
      <c r="AI1808" s="1"/>
      <c r="AJ1808" s="1" t="s">
        <v>628</v>
      </c>
      <c r="AK1808" s="1"/>
      <c r="AL1808" s="1" t="s">
        <v>79</v>
      </c>
      <c r="AM1808" s="1" t="s">
        <v>65</v>
      </c>
      <c r="AN1808" s="1" t="s">
        <v>152</v>
      </c>
      <c r="AO1808" s="2">
        <v>43908.0</v>
      </c>
      <c r="AP1808" s="2">
        <v>43908.5761111111</v>
      </c>
      <c r="AQ1808" s="1" t="s">
        <v>80</v>
      </c>
      <c r="AR1808" s="1" t="s">
        <v>7246</v>
      </c>
      <c r="AS1808" s="1"/>
      <c r="AT1808" s="2">
        <v>44269.931099537</v>
      </c>
    </row>
    <row r="1809" ht="13.5" customHeight="1">
      <c r="A1809" s="1">
        <v>2035584.0</v>
      </c>
      <c r="B1809" s="1" t="s">
        <v>67</v>
      </c>
      <c r="C1809" s="1" t="s">
        <v>68</v>
      </c>
      <c r="D1809" s="1" t="s">
        <v>46</v>
      </c>
      <c r="E1809" s="1" t="s">
        <v>7453</v>
      </c>
      <c r="F1809" s="1"/>
      <c r="G1809" s="1" t="s">
        <v>70</v>
      </c>
      <c r="H1809" s="1" t="s">
        <v>93</v>
      </c>
      <c r="I1809" s="1">
        <v>231000.0</v>
      </c>
      <c r="J1809" s="1"/>
      <c r="K1809" s="1"/>
      <c r="L1809" s="1" t="s">
        <v>358</v>
      </c>
      <c r="M1809" s="1" t="s">
        <v>7454</v>
      </c>
      <c r="N1809" s="1" t="s">
        <v>142</v>
      </c>
      <c r="O1809" s="1" t="s">
        <v>143</v>
      </c>
      <c r="P1809" s="2">
        <v>43762.3333333333</v>
      </c>
      <c r="Q1809" s="1" t="s">
        <v>74</v>
      </c>
      <c r="R1809" s="3">
        <v>43761.0</v>
      </c>
      <c r="S1809" s="1"/>
      <c r="T1809" s="1">
        <v>4119301.0</v>
      </c>
      <c r="U1809" s="1" t="s">
        <v>5798</v>
      </c>
      <c r="V1809" s="1" t="s">
        <v>176</v>
      </c>
      <c r="W1809" s="1" t="s">
        <v>59</v>
      </c>
      <c r="X1809" s="1"/>
      <c r="Y1809" s="1" t="str">
        <f>"02017000260202083"</f>
        <v>02017000260202083</v>
      </c>
      <c r="Z1809" s="1" t="s">
        <v>147</v>
      </c>
      <c r="AA1809" s="1" t="s">
        <v>7455</v>
      </c>
      <c r="AB1809" s="1" t="str">
        <f>"***905189**"</f>
        <v>***905189**</v>
      </c>
      <c r="AC1809" s="1"/>
      <c r="AD1809" s="1"/>
      <c r="AE1809" s="1"/>
      <c r="AF1809" s="1">
        <v>-52.103611</v>
      </c>
      <c r="AG1809" s="1">
        <v>-26.029446</v>
      </c>
      <c r="AH1809" s="1" t="s">
        <v>7456</v>
      </c>
      <c r="AI1809" s="1"/>
      <c r="AJ1809" s="1" t="s">
        <v>358</v>
      </c>
      <c r="AK1809" s="1"/>
      <c r="AL1809" s="1" t="s">
        <v>79</v>
      </c>
      <c r="AM1809" s="1" t="s">
        <v>65</v>
      </c>
      <c r="AN1809" s="1" t="s">
        <v>1696</v>
      </c>
      <c r="AO1809" s="2">
        <v>43909.0</v>
      </c>
      <c r="AP1809" s="2">
        <v>43909.4594791667</v>
      </c>
      <c r="AQ1809" s="1" t="s">
        <v>80</v>
      </c>
      <c r="AR1809" s="1" t="s">
        <v>5801</v>
      </c>
      <c r="AS1809" s="1"/>
      <c r="AT1809" s="2">
        <v>44269.931099537</v>
      </c>
    </row>
    <row r="1810" ht="13.5" customHeight="1">
      <c r="A1810" s="1">
        <v>2039411.0</v>
      </c>
      <c r="B1810" s="1" t="s">
        <v>67</v>
      </c>
      <c r="C1810" s="1" t="s">
        <v>68</v>
      </c>
      <c r="D1810" s="1" t="s">
        <v>46</v>
      </c>
      <c r="E1810" s="1" t="s">
        <v>7457</v>
      </c>
      <c r="F1810" s="1"/>
      <c r="G1810" s="1" t="s">
        <v>70</v>
      </c>
      <c r="H1810" s="1" t="s">
        <v>50</v>
      </c>
      <c r="I1810" s="1">
        <v>10000.0</v>
      </c>
      <c r="J1810" s="1"/>
      <c r="K1810" s="1"/>
      <c r="L1810" s="1" t="s">
        <v>628</v>
      </c>
      <c r="M1810" s="1" t="s">
        <v>7458</v>
      </c>
      <c r="N1810" s="1" t="s">
        <v>72</v>
      </c>
      <c r="O1810" s="1" t="s">
        <v>213</v>
      </c>
      <c r="P1810" s="2">
        <v>43762.3333333333</v>
      </c>
      <c r="Q1810" s="1" t="s">
        <v>373</v>
      </c>
      <c r="R1810" s="3">
        <v>43762.0</v>
      </c>
      <c r="S1810" s="1"/>
      <c r="T1810" s="1">
        <v>2933604.0</v>
      </c>
      <c r="U1810" s="1" t="s">
        <v>7243</v>
      </c>
      <c r="V1810" s="1" t="s">
        <v>632</v>
      </c>
      <c r="W1810" s="1" t="s">
        <v>113</v>
      </c>
      <c r="X1810" s="1"/>
      <c r="Y1810" s="1" t="str">
        <f>"02006001125202084"</f>
        <v>02006001125202084</v>
      </c>
      <c r="Z1810" s="1" t="s">
        <v>215</v>
      </c>
      <c r="AA1810" s="1" t="s">
        <v>7459</v>
      </c>
      <c r="AB1810" s="1" t="str">
        <f>"***251298**"</f>
        <v>***251298**</v>
      </c>
      <c r="AC1810" s="1"/>
      <c r="AD1810" s="1"/>
      <c r="AE1810" s="1"/>
      <c r="AF1810" s="1">
        <v>-42.846111</v>
      </c>
      <c r="AG1810" s="1">
        <v>-10.813056</v>
      </c>
      <c r="AH1810" s="1" t="s">
        <v>7460</v>
      </c>
      <c r="AI1810" s="1"/>
      <c r="AJ1810" s="1" t="s">
        <v>628</v>
      </c>
      <c r="AK1810" s="1"/>
      <c r="AL1810" s="1" t="s">
        <v>79</v>
      </c>
      <c r="AM1810" s="1" t="s">
        <v>65</v>
      </c>
      <c r="AN1810" s="1" t="s">
        <v>152</v>
      </c>
      <c r="AO1810" s="2">
        <v>44061.0</v>
      </c>
      <c r="AP1810" s="2">
        <v>44061.781875</v>
      </c>
      <c r="AQ1810" s="1" t="s">
        <v>80</v>
      </c>
      <c r="AR1810" s="1" t="s">
        <v>909</v>
      </c>
      <c r="AS1810" s="1"/>
      <c r="AT1810" s="2">
        <v>44269.931099537</v>
      </c>
    </row>
    <row r="1811" ht="13.5" customHeight="1">
      <c r="A1811" s="1">
        <v>2040237.0</v>
      </c>
      <c r="B1811" s="1" t="s">
        <v>67</v>
      </c>
      <c r="C1811" s="1" t="s">
        <v>68</v>
      </c>
      <c r="D1811" s="1" t="s">
        <v>46</v>
      </c>
      <c r="E1811" s="1" t="s">
        <v>7461</v>
      </c>
      <c r="F1811" s="1"/>
      <c r="G1811" s="1" t="s">
        <v>70</v>
      </c>
      <c r="H1811" s="1" t="s">
        <v>93</v>
      </c>
      <c r="I1811" s="1">
        <v>15731.22</v>
      </c>
      <c r="J1811" s="1"/>
      <c r="K1811" s="1"/>
      <c r="L1811" s="1" t="s">
        <v>371</v>
      </c>
      <c r="M1811" s="1" t="s">
        <v>7462</v>
      </c>
      <c r="N1811" s="1" t="s">
        <v>142</v>
      </c>
      <c r="O1811" s="1" t="s">
        <v>143</v>
      </c>
      <c r="P1811" s="2">
        <v>43762.3333333333</v>
      </c>
      <c r="Q1811" s="1" t="s">
        <v>373</v>
      </c>
      <c r="R1811" s="3">
        <v>43762.0</v>
      </c>
      <c r="S1811" s="1"/>
      <c r="T1811" s="1">
        <v>5201108.0</v>
      </c>
      <c r="U1811" s="1" t="s">
        <v>2686</v>
      </c>
      <c r="V1811" s="1" t="s">
        <v>375</v>
      </c>
      <c r="W1811" s="1" t="s">
        <v>177</v>
      </c>
      <c r="X1811" s="1"/>
      <c r="Y1811" s="1" t="str">
        <f>"02010004100201930"</f>
        <v>02010004100201930</v>
      </c>
      <c r="Z1811" s="1" t="s">
        <v>147</v>
      </c>
      <c r="AA1811" s="1" t="s">
        <v>7381</v>
      </c>
      <c r="AB1811" s="1" t="str">
        <f>"18550569000196"</f>
        <v>18550569000196</v>
      </c>
      <c r="AC1811" s="1"/>
      <c r="AD1811" s="1"/>
      <c r="AE1811" s="1"/>
      <c r="AF1811" s="1">
        <v>-49.941391</v>
      </c>
      <c r="AG1811" s="1">
        <v>-16.296944</v>
      </c>
      <c r="AH1811" s="1" t="s">
        <v>7463</v>
      </c>
      <c r="AI1811" s="1"/>
      <c r="AJ1811" s="1" t="s">
        <v>371</v>
      </c>
      <c r="AK1811" s="1"/>
      <c r="AL1811" s="1" t="s">
        <v>79</v>
      </c>
      <c r="AM1811" s="1" t="s">
        <v>65</v>
      </c>
      <c r="AN1811" s="1" t="s">
        <v>6461</v>
      </c>
      <c r="AO1811" s="2">
        <v>44118.0</v>
      </c>
      <c r="AP1811" s="2">
        <v>44118.4187962963</v>
      </c>
      <c r="AQ1811" s="1" t="s">
        <v>80</v>
      </c>
      <c r="AR1811" s="1" t="s">
        <v>379</v>
      </c>
      <c r="AS1811" s="1" t="s">
        <v>7464</v>
      </c>
      <c r="AT1811" s="2">
        <v>44269.931099537</v>
      </c>
    </row>
    <row r="1812" ht="13.5" customHeight="1">
      <c r="A1812" s="1">
        <v>2041250.0</v>
      </c>
      <c r="B1812" s="1" t="s">
        <v>67</v>
      </c>
      <c r="C1812" s="1" t="s">
        <v>68</v>
      </c>
      <c r="D1812" s="1" t="s">
        <v>46</v>
      </c>
      <c r="E1812" s="1" t="s">
        <v>7465</v>
      </c>
      <c r="F1812" s="1"/>
      <c r="G1812" s="1" t="s">
        <v>70</v>
      </c>
      <c r="H1812" s="1" t="s">
        <v>50</v>
      </c>
      <c r="I1812" s="1">
        <v>310500.0</v>
      </c>
      <c r="J1812" s="1"/>
      <c r="K1812" s="1"/>
      <c r="L1812" s="1" t="s">
        <v>1172</v>
      </c>
      <c r="M1812" s="1" t="s">
        <v>7111</v>
      </c>
      <c r="N1812" s="1" t="s">
        <v>72</v>
      </c>
      <c r="O1812" s="1" t="s">
        <v>213</v>
      </c>
      <c r="P1812" s="2">
        <v>43762.3333333333</v>
      </c>
      <c r="Q1812" s="1" t="s">
        <v>74</v>
      </c>
      <c r="R1812" s="3">
        <v>43780.0</v>
      </c>
      <c r="S1812" s="1"/>
      <c r="T1812" s="1">
        <v>1507300.0</v>
      </c>
      <c r="U1812" s="1" t="s">
        <v>3161</v>
      </c>
      <c r="V1812" s="1" t="s">
        <v>193</v>
      </c>
      <c r="W1812" s="1" t="s">
        <v>177</v>
      </c>
      <c r="X1812" s="1"/>
      <c r="Y1812" s="1"/>
      <c r="Z1812" s="1" t="s">
        <v>215</v>
      </c>
      <c r="AA1812" s="1" t="s">
        <v>7311</v>
      </c>
      <c r="AB1812" s="1" t="str">
        <f>"***585866**"</f>
        <v>***585866**</v>
      </c>
      <c r="AC1812" s="1"/>
      <c r="AD1812" s="1"/>
      <c r="AE1812" s="1"/>
      <c r="AF1812" s="1">
        <v>-51.207222</v>
      </c>
      <c r="AG1812" s="1">
        <v>-5.487778</v>
      </c>
      <c r="AH1812" s="1" t="s">
        <v>7466</v>
      </c>
      <c r="AI1812" s="1"/>
      <c r="AJ1812" s="1" t="s">
        <v>1172</v>
      </c>
      <c r="AK1812" s="1"/>
      <c r="AL1812" s="1" t="s">
        <v>79</v>
      </c>
      <c r="AM1812" s="1" t="s">
        <v>65</v>
      </c>
      <c r="AN1812" s="1" t="s">
        <v>6919</v>
      </c>
      <c r="AO1812" s="2">
        <v>44159.0</v>
      </c>
      <c r="AP1812" s="2">
        <v>44159.3958796296</v>
      </c>
      <c r="AQ1812" s="1" t="s">
        <v>80</v>
      </c>
      <c r="AR1812" s="1" t="s">
        <v>909</v>
      </c>
      <c r="AS1812" s="1"/>
      <c r="AT1812" s="2">
        <v>44269.931099537</v>
      </c>
    </row>
    <row r="1813" ht="13.5" customHeight="1">
      <c r="A1813" s="1">
        <v>2035139.0</v>
      </c>
      <c r="B1813" s="1" t="s">
        <v>67</v>
      </c>
      <c r="C1813" s="1" t="s">
        <v>68</v>
      </c>
      <c r="D1813" s="1" t="s">
        <v>46</v>
      </c>
      <c r="E1813" s="1" t="s">
        <v>7467</v>
      </c>
      <c r="F1813" s="1"/>
      <c r="G1813" s="1" t="s">
        <v>70</v>
      </c>
      <c r="H1813" s="1" t="s">
        <v>93</v>
      </c>
      <c r="I1813" s="1">
        <v>4200.0</v>
      </c>
      <c r="J1813" s="1"/>
      <c r="K1813" s="1"/>
      <c r="L1813" s="1" t="s">
        <v>406</v>
      </c>
      <c r="M1813" s="1" t="s">
        <v>7468</v>
      </c>
      <c r="N1813" s="1" t="s">
        <v>95</v>
      </c>
      <c r="O1813" s="1" t="s">
        <v>96</v>
      </c>
      <c r="P1813" s="2">
        <v>43762.2916666667</v>
      </c>
      <c r="Q1813" s="1" t="s">
        <v>74</v>
      </c>
      <c r="R1813" s="3">
        <v>43762.0</v>
      </c>
      <c r="S1813" s="1"/>
      <c r="T1813" s="1">
        <v>3201506.0</v>
      </c>
      <c r="U1813" s="1" t="s">
        <v>7469</v>
      </c>
      <c r="V1813" s="1" t="s">
        <v>403</v>
      </c>
      <c r="W1813" s="1" t="s">
        <v>59</v>
      </c>
      <c r="X1813" s="1"/>
      <c r="Y1813" s="1" t="str">
        <f>"02009000489202017"</f>
        <v>02009000489202017</v>
      </c>
      <c r="Z1813" s="1" t="s">
        <v>98</v>
      </c>
      <c r="AA1813" s="1" t="s">
        <v>7470</v>
      </c>
      <c r="AB1813" s="1" t="str">
        <f>"***658907**"</f>
        <v>***658907**</v>
      </c>
      <c r="AC1813" s="1"/>
      <c r="AD1813" s="1"/>
      <c r="AE1813" s="1"/>
      <c r="AF1813" s="1">
        <v>-40.840553</v>
      </c>
      <c r="AG1813" s="1">
        <v>-19.415556</v>
      </c>
      <c r="AH1813" s="1" t="s">
        <v>7471</v>
      </c>
      <c r="AI1813" s="1"/>
      <c r="AJ1813" s="1" t="s">
        <v>406</v>
      </c>
      <c r="AK1813" s="1"/>
      <c r="AL1813" s="1" t="s">
        <v>79</v>
      </c>
      <c r="AM1813" s="1" t="s">
        <v>65</v>
      </c>
      <c r="AN1813" s="1" t="s">
        <v>168</v>
      </c>
      <c r="AO1813" s="2">
        <v>43895.0</v>
      </c>
      <c r="AP1813" s="2">
        <v>43895.7086458333</v>
      </c>
      <c r="AQ1813" s="1" t="s">
        <v>80</v>
      </c>
      <c r="AR1813" s="1" t="s">
        <v>1534</v>
      </c>
      <c r="AS1813" s="1"/>
      <c r="AT1813" s="2">
        <v>44269.931099537</v>
      </c>
    </row>
    <row r="1814" ht="13.5" customHeight="1">
      <c r="A1814" s="1">
        <v>2042580.0</v>
      </c>
      <c r="B1814" s="1" t="s">
        <v>67</v>
      </c>
      <c r="C1814" s="1" t="s">
        <v>68</v>
      </c>
      <c r="D1814" s="1" t="s">
        <v>46</v>
      </c>
      <c r="E1814" s="1" t="s">
        <v>7472</v>
      </c>
      <c r="F1814" s="1"/>
      <c r="G1814" s="1" t="s">
        <v>70</v>
      </c>
      <c r="H1814" s="1" t="s">
        <v>93</v>
      </c>
      <c r="I1814" s="1">
        <v>720000.0</v>
      </c>
      <c r="J1814" s="1"/>
      <c r="K1814" s="1"/>
      <c r="L1814" s="1" t="s">
        <v>131</v>
      </c>
      <c r="M1814" s="1" t="s">
        <v>7473</v>
      </c>
      <c r="N1814" s="1" t="s">
        <v>95</v>
      </c>
      <c r="O1814" s="1" t="s">
        <v>96</v>
      </c>
      <c r="P1814" s="2">
        <v>43762.2083333333</v>
      </c>
      <c r="Q1814" s="1" t="s">
        <v>373</v>
      </c>
      <c r="R1814" s="3">
        <v>43762.0</v>
      </c>
      <c r="S1814" s="1"/>
      <c r="T1814" s="1">
        <v>3167202.0</v>
      </c>
      <c r="U1814" s="1" t="s">
        <v>6313</v>
      </c>
      <c r="V1814" s="1" t="s">
        <v>126</v>
      </c>
      <c r="W1814" s="1" t="s">
        <v>127</v>
      </c>
      <c r="X1814" s="1"/>
      <c r="Y1814" s="1" t="str">
        <f>"02015000072202075"</f>
        <v>02015000072202075</v>
      </c>
      <c r="Z1814" s="1" t="s">
        <v>98</v>
      </c>
      <c r="AA1814" s="1" t="s">
        <v>7474</v>
      </c>
      <c r="AB1814" s="1" t="str">
        <f>"***292486**"</f>
        <v>***292486**</v>
      </c>
      <c r="AC1814" s="1"/>
      <c r="AD1814" s="1"/>
      <c r="AE1814" s="1"/>
      <c r="AF1814" s="1">
        <v>-44.284164</v>
      </c>
      <c r="AG1814" s="1">
        <v>-19.478334</v>
      </c>
      <c r="AH1814" s="1" t="s">
        <v>7475</v>
      </c>
      <c r="AI1814" s="1"/>
      <c r="AJ1814" s="1" t="s">
        <v>131</v>
      </c>
      <c r="AK1814" s="1"/>
      <c r="AL1814" s="1" t="s">
        <v>79</v>
      </c>
      <c r="AM1814" s="1" t="s">
        <v>65</v>
      </c>
      <c r="AN1814" s="1" t="s">
        <v>6316</v>
      </c>
      <c r="AO1814" s="2">
        <v>44209.0</v>
      </c>
      <c r="AP1814" s="2">
        <v>44209.4621527778</v>
      </c>
      <c r="AQ1814" s="1" t="s">
        <v>80</v>
      </c>
      <c r="AR1814" s="1" t="s">
        <v>7291</v>
      </c>
      <c r="AS1814" s="1"/>
      <c r="AT1814" s="2">
        <v>44269.931099537</v>
      </c>
    </row>
    <row r="1815" ht="13.5" customHeight="1">
      <c r="A1815" s="1">
        <v>2034910.0</v>
      </c>
      <c r="B1815" s="1" t="s">
        <v>67</v>
      </c>
      <c r="C1815" s="1" t="s">
        <v>68</v>
      </c>
      <c r="D1815" s="1" t="s">
        <v>46</v>
      </c>
      <c r="E1815" s="1" t="s">
        <v>7476</v>
      </c>
      <c r="F1815" s="1"/>
      <c r="G1815" s="1" t="s">
        <v>70</v>
      </c>
      <c r="H1815" s="1" t="s">
        <v>93</v>
      </c>
      <c r="I1815" s="1">
        <v>11131.2</v>
      </c>
      <c r="J1815" s="1"/>
      <c r="K1815" s="1"/>
      <c r="L1815" s="1" t="s">
        <v>65</v>
      </c>
      <c r="M1815" s="1" t="s">
        <v>7477</v>
      </c>
      <c r="N1815" s="1" t="s">
        <v>142</v>
      </c>
      <c r="O1815" s="1" t="s">
        <v>143</v>
      </c>
      <c r="P1815" s="2">
        <v>43761.75</v>
      </c>
      <c r="Q1815" s="1" t="s">
        <v>74</v>
      </c>
      <c r="R1815" s="3">
        <v>43760.0</v>
      </c>
      <c r="S1815" s="1"/>
      <c r="T1815" s="1">
        <v>1300144.0</v>
      </c>
      <c r="U1815" s="1" t="s">
        <v>7328</v>
      </c>
      <c r="V1815" s="1" t="s">
        <v>486</v>
      </c>
      <c r="W1815" s="1" t="s">
        <v>177</v>
      </c>
      <c r="X1815" s="1"/>
      <c r="Y1815" s="1" t="str">
        <f>"02024007362201905"</f>
        <v>02024007362201905</v>
      </c>
      <c r="Z1815" s="1" t="s">
        <v>147</v>
      </c>
      <c r="AA1815" s="1" t="s">
        <v>7478</v>
      </c>
      <c r="AB1815" s="1" t="str">
        <f>"***859839**"</f>
        <v>***859839**</v>
      </c>
      <c r="AC1815" s="1"/>
      <c r="AD1815" s="1" t="s">
        <v>116</v>
      </c>
      <c r="AE1815" s="1"/>
      <c r="AF1815" s="1">
        <v>-59.883056</v>
      </c>
      <c r="AG1815" s="1">
        <v>-7.190556</v>
      </c>
      <c r="AH1815" s="1" t="s">
        <v>7479</v>
      </c>
      <c r="AI1815" s="1"/>
      <c r="AJ1815" s="1" t="s">
        <v>172</v>
      </c>
      <c r="AK1815" s="1" t="s">
        <v>7331</v>
      </c>
      <c r="AL1815" s="1" t="s">
        <v>79</v>
      </c>
      <c r="AM1815" s="1" t="s">
        <v>65</v>
      </c>
      <c r="AN1815" s="1" t="s">
        <v>7331</v>
      </c>
      <c r="AO1815" s="2">
        <v>43892.0</v>
      </c>
      <c r="AP1815" s="2">
        <v>43973.5718402778</v>
      </c>
      <c r="AQ1815" s="1" t="s">
        <v>80</v>
      </c>
      <c r="AR1815" s="1" t="s">
        <v>181</v>
      </c>
      <c r="AS1815" s="1"/>
      <c r="AT1815" s="2">
        <v>44269.931099537</v>
      </c>
    </row>
    <row r="1816" ht="13.5" customHeight="1">
      <c r="A1816" s="1"/>
      <c r="B1816" s="1" t="s">
        <v>46</v>
      </c>
      <c r="C1816" s="1" t="s">
        <v>47</v>
      </c>
      <c r="D1816" s="1"/>
      <c r="E1816" s="1" t="s">
        <v>7480</v>
      </c>
      <c r="F1816" s="1"/>
      <c r="G1816" s="1"/>
      <c r="H1816" s="1"/>
      <c r="I1816" s="1"/>
      <c r="J1816" s="1"/>
      <c r="K1816" s="1"/>
      <c r="L1816" s="1"/>
      <c r="M1816" s="1" t="s">
        <v>7481</v>
      </c>
      <c r="N1816" s="1" t="s">
        <v>95</v>
      </c>
      <c r="O1816" s="1" t="s">
        <v>96</v>
      </c>
      <c r="P1816" s="2">
        <v>43761.7229398148</v>
      </c>
      <c r="Q1816" s="1"/>
      <c r="R1816" s="1"/>
      <c r="S1816" s="1"/>
      <c r="T1816" s="1">
        <v>1506500.0</v>
      </c>
      <c r="U1816" s="1" t="s">
        <v>6225</v>
      </c>
      <c r="V1816" s="1" t="s">
        <v>193</v>
      </c>
      <c r="W1816" s="1" t="s">
        <v>177</v>
      </c>
      <c r="X1816" s="1"/>
      <c r="Y1816" s="1"/>
      <c r="Z1816" s="1" t="s">
        <v>98</v>
      </c>
      <c r="AA1816" s="1" t="s">
        <v>6226</v>
      </c>
      <c r="AB1816" s="1" t="str">
        <f>"***333172**"</f>
        <v>***333172**</v>
      </c>
      <c r="AC1816" s="1"/>
      <c r="AD1816" s="1" t="s">
        <v>149</v>
      </c>
      <c r="AE1816" s="1"/>
      <c r="AF1816" s="1">
        <v>-48.161392</v>
      </c>
      <c r="AG1816" s="1">
        <v>-1.294722</v>
      </c>
      <c r="AH1816" s="1" t="s">
        <v>7482</v>
      </c>
      <c r="AI1816" s="1"/>
      <c r="AJ1816" s="1" t="s">
        <v>196</v>
      </c>
      <c r="AK1816" s="1"/>
      <c r="AL1816" s="1"/>
      <c r="AM1816" s="1" t="s">
        <v>65</v>
      </c>
      <c r="AN1816" s="1" t="s">
        <v>197</v>
      </c>
      <c r="AO1816" s="1"/>
      <c r="AP1816" s="2">
        <v>43769.6426157407</v>
      </c>
      <c r="AQ1816" s="1"/>
      <c r="AR1816" s="1" t="s">
        <v>7483</v>
      </c>
      <c r="AS1816" s="1"/>
      <c r="AT1816" s="2">
        <v>44269.931099537</v>
      </c>
    </row>
    <row r="1817" ht="13.5" customHeight="1">
      <c r="A1817" s="1"/>
      <c r="B1817" s="1" t="s">
        <v>46</v>
      </c>
      <c r="C1817" s="1" t="s">
        <v>47</v>
      </c>
      <c r="D1817" s="1"/>
      <c r="E1817" s="1" t="s">
        <v>7484</v>
      </c>
      <c r="F1817" s="1"/>
      <c r="G1817" s="1"/>
      <c r="H1817" s="1" t="s">
        <v>93</v>
      </c>
      <c r="I1817" s="1">
        <v>160000.0</v>
      </c>
      <c r="J1817" s="1"/>
      <c r="K1817" s="1" t="s">
        <v>140</v>
      </c>
      <c r="L1817" s="1"/>
      <c r="M1817" s="1" t="s">
        <v>7485</v>
      </c>
      <c r="N1817" s="1" t="s">
        <v>123</v>
      </c>
      <c r="O1817" s="1" t="s">
        <v>73</v>
      </c>
      <c r="P1817" s="2">
        <v>43761.7207523148</v>
      </c>
      <c r="Q1817" s="1" t="s">
        <v>74</v>
      </c>
      <c r="R1817" s="1"/>
      <c r="S1817" s="1"/>
      <c r="T1817" s="1">
        <v>5101902.0</v>
      </c>
      <c r="U1817" s="1" t="s">
        <v>7486</v>
      </c>
      <c r="V1817" s="1" t="s">
        <v>164</v>
      </c>
      <c r="W1817" s="1" t="s">
        <v>177</v>
      </c>
      <c r="X1817" s="1"/>
      <c r="Y1817" s="1"/>
      <c r="Z1817" s="1" t="s">
        <v>76</v>
      </c>
      <c r="AA1817" s="1" t="s">
        <v>7487</v>
      </c>
      <c r="AB1817" s="1" t="str">
        <f>"***484649**"</f>
        <v>***484649**</v>
      </c>
      <c r="AC1817" s="1"/>
      <c r="AD1817" s="1" t="s">
        <v>149</v>
      </c>
      <c r="AE1817" s="1"/>
      <c r="AF1817" s="1">
        <v>-57.794724</v>
      </c>
      <c r="AG1817" s="1">
        <v>-12.616389</v>
      </c>
      <c r="AH1817" s="1" t="s">
        <v>7488</v>
      </c>
      <c r="AI1817" s="1"/>
      <c r="AJ1817" s="1" t="s">
        <v>172</v>
      </c>
      <c r="AK1817" s="1"/>
      <c r="AL1817" s="1"/>
      <c r="AM1817" s="1" t="s">
        <v>65</v>
      </c>
      <c r="AN1817" s="1" t="s">
        <v>7489</v>
      </c>
      <c r="AO1817" s="1"/>
      <c r="AP1817" s="2">
        <v>43761.9001273148</v>
      </c>
      <c r="AQ1817" s="1"/>
      <c r="AR1817" s="1" t="s">
        <v>793</v>
      </c>
      <c r="AS1817" s="1"/>
      <c r="AT1817" s="2">
        <v>44269.931099537</v>
      </c>
    </row>
    <row r="1818" ht="13.5" customHeight="1">
      <c r="A1818" s="1">
        <v>2035585.0</v>
      </c>
      <c r="B1818" s="1" t="s">
        <v>67</v>
      </c>
      <c r="C1818" s="1" t="s">
        <v>68</v>
      </c>
      <c r="D1818" s="1" t="s">
        <v>46</v>
      </c>
      <c r="E1818" s="1" t="s">
        <v>7490</v>
      </c>
      <c r="F1818" s="1"/>
      <c r="G1818" s="1" t="s">
        <v>70</v>
      </c>
      <c r="H1818" s="1" t="s">
        <v>93</v>
      </c>
      <c r="I1818" s="1">
        <v>92925.0</v>
      </c>
      <c r="J1818" s="1"/>
      <c r="K1818" s="1"/>
      <c r="L1818" s="1" t="s">
        <v>358</v>
      </c>
      <c r="M1818" s="1" t="s">
        <v>7491</v>
      </c>
      <c r="N1818" s="1" t="s">
        <v>142</v>
      </c>
      <c r="O1818" s="1" t="s">
        <v>143</v>
      </c>
      <c r="P1818" s="2">
        <v>43761.6666666667</v>
      </c>
      <c r="Q1818" s="1" t="s">
        <v>373</v>
      </c>
      <c r="R1818" s="3">
        <v>43761.0</v>
      </c>
      <c r="S1818" s="1"/>
      <c r="T1818" s="1">
        <v>4119301.0</v>
      </c>
      <c r="U1818" s="1" t="s">
        <v>5798</v>
      </c>
      <c r="V1818" s="1" t="s">
        <v>176</v>
      </c>
      <c r="W1818" s="1" t="s">
        <v>59</v>
      </c>
      <c r="X1818" s="1"/>
      <c r="Y1818" s="1" t="str">
        <f>"02017004596201981"</f>
        <v>02017004596201981</v>
      </c>
      <c r="Z1818" s="1" t="s">
        <v>147</v>
      </c>
      <c r="AA1818" s="1" t="s">
        <v>7492</v>
      </c>
      <c r="AB1818" s="1" t="str">
        <f>"***810879**"</f>
        <v>***810879**</v>
      </c>
      <c r="AC1818" s="1"/>
      <c r="AD1818" s="1"/>
      <c r="AE1818" s="1"/>
      <c r="AF1818" s="1">
        <v>-51.687222</v>
      </c>
      <c r="AG1818" s="1">
        <v>-25.870834</v>
      </c>
      <c r="AH1818" s="1" t="s">
        <v>7493</v>
      </c>
      <c r="AI1818" s="1"/>
      <c r="AJ1818" s="1" t="s">
        <v>358</v>
      </c>
      <c r="AK1818" s="1"/>
      <c r="AL1818" s="1" t="s">
        <v>79</v>
      </c>
      <c r="AM1818" s="1" t="s">
        <v>65</v>
      </c>
      <c r="AN1818" s="1" t="s">
        <v>1696</v>
      </c>
      <c r="AO1818" s="2">
        <v>43909.0</v>
      </c>
      <c r="AP1818" s="2">
        <v>43909.4595949074</v>
      </c>
      <c r="AQ1818" s="1" t="s">
        <v>80</v>
      </c>
      <c r="AR1818" s="1" t="s">
        <v>5801</v>
      </c>
      <c r="AS1818" s="1"/>
      <c r="AT1818" s="2">
        <v>44269.931099537</v>
      </c>
    </row>
    <row r="1819" ht="13.5" customHeight="1">
      <c r="A1819" s="1">
        <v>2042798.0</v>
      </c>
      <c r="B1819" s="1" t="s">
        <v>67</v>
      </c>
      <c r="C1819" s="1" t="s">
        <v>68</v>
      </c>
      <c r="D1819" s="1" t="s">
        <v>46</v>
      </c>
      <c r="E1819" s="1" t="s">
        <v>7494</v>
      </c>
      <c r="F1819" s="1"/>
      <c r="G1819" s="1" t="s">
        <v>70</v>
      </c>
      <c r="H1819" s="1" t="s">
        <v>50</v>
      </c>
      <c r="I1819" s="1">
        <v>4500.0</v>
      </c>
      <c r="J1819" s="1"/>
      <c r="K1819" s="1"/>
      <c r="L1819" s="1" t="s">
        <v>167</v>
      </c>
      <c r="M1819" s="1" t="s">
        <v>7495</v>
      </c>
      <c r="N1819" s="1" t="s">
        <v>283</v>
      </c>
      <c r="O1819" s="1" t="s">
        <v>978</v>
      </c>
      <c r="P1819" s="2">
        <v>43761.6666666667</v>
      </c>
      <c r="Q1819" s="1" t="s">
        <v>74</v>
      </c>
      <c r="R1819" s="3">
        <v>43776.0</v>
      </c>
      <c r="S1819" s="1"/>
      <c r="T1819" s="1">
        <v>5107925.0</v>
      </c>
      <c r="U1819" s="1" t="s">
        <v>7385</v>
      </c>
      <c r="V1819" s="1" t="s">
        <v>164</v>
      </c>
      <c r="W1819" s="1" t="s">
        <v>177</v>
      </c>
      <c r="X1819" s="1"/>
      <c r="Y1819" s="1" t="str">
        <f>"02013000578202002"</f>
        <v>02013000578202002</v>
      </c>
      <c r="Z1819" s="1" t="s">
        <v>980</v>
      </c>
      <c r="AA1819" s="1" t="s">
        <v>7496</v>
      </c>
      <c r="AB1819" s="1" t="str">
        <f>"08775117000159"</f>
        <v>08775117000159</v>
      </c>
      <c r="AC1819" s="1"/>
      <c r="AD1819" s="1"/>
      <c r="AE1819" s="1"/>
      <c r="AF1819" s="1">
        <v>-55.81139</v>
      </c>
      <c r="AG1819" s="1">
        <v>-12.698055</v>
      </c>
      <c r="AH1819" s="1" t="s">
        <v>7497</v>
      </c>
      <c r="AI1819" s="1"/>
      <c r="AJ1819" s="1" t="s">
        <v>167</v>
      </c>
      <c r="AK1819" s="1"/>
      <c r="AL1819" s="1" t="s">
        <v>79</v>
      </c>
      <c r="AM1819" s="1" t="s">
        <v>65</v>
      </c>
      <c r="AN1819" s="1" t="s">
        <v>6985</v>
      </c>
      <c r="AO1819" s="2">
        <v>44217.0</v>
      </c>
      <c r="AP1819" s="2">
        <v>44217.4103356481</v>
      </c>
      <c r="AQ1819" s="1" t="s">
        <v>80</v>
      </c>
      <c r="AR1819" s="1" t="s">
        <v>6447</v>
      </c>
      <c r="AS1819" s="1"/>
      <c r="AT1819" s="2">
        <v>44269.931099537</v>
      </c>
    </row>
    <row r="1820" ht="13.5" customHeight="1">
      <c r="A1820" s="1"/>
      <c r="B1820" s="1" t="s">
        <v>46</v>
      </c>
      <c r="C1820" s="1" t="s">
        <v>47</v>
      </c>
      <c r="D1820" s="1"/>
      <c r="E1820" s="1" t="s">
        <v>7498</v>
      </c>
      <c r="F1820" s="1"/>
      <c r="G1820" s="1"/>
      <c r="H1820" s="1" t="s">
        <v>93</v>
      </c>
      <c r="I1820" s="1">
        <v>1665000.0</v>
      </c>
      <c r="J1820" s="1"/>
      <c r="K1820" s="1"/>
      <c r="L1820" s="1"/>
      <c r="M1820" s="1" t="s">
        <v>7499</v>
      </c>
      <c r="N1820" s="1" t="s">
        <v>142</v>
      </c>
      <c r="O1820" s="1" t="s">
        <v>143</v>
      </c>
      <c r="P1820" s="2">
        <v>43761.6121759259</v>
      </c>
      <c r="Q1820" s="1" t="s">
        <v>74</v>
      </c>
      <c r="R1820" s="3">
        <v>43776.0</v>
      </c>
      <c r="S1820" s="1"/>
      <c r="T1820" s="1">
        <v>1302405.0</v>
      </c>
      <c r="U1820" s="1" t="s">
        <v>2258</v>
      </c>
      <c r="V1820" s="1" t="s">
        <v>486</v>
      </c>
      <c r="W1820" s="1" t="s">
        <v>177</v>
      </c>
      <c r="X1820" s="1"/>
      <c r="Y1820" s="1"/>
      <c r="Z1820" s="1" t="s">
        <v>147</v>
      </c>
      <c r="AA1820" s="1" t="s">
        <v>7500</v>
      </c>
      <c r="AB1820" s="1" t="str">
        <f>"***446056**"</f>
        <v>***446056**</v>
      </c>
      <c r="AC1820" s="1">
        <v>332.0</v>
      </c>
      <c r="AD1820" s="1" t="s">
        <v>116</v>
      </c>
      <c r="AE1820" s="1"/>
      <c r="AF1820" s="1">
        <v>-66.992783</v>
      </c>
      <c r="AG1820" s="1">
        <v>-8.957222</v>
      </c>
      <c r="AH1820" s="1" t="s">
        <v>7501</v>
      </c>
      <c r="AI1820" s="1"/>
      <c r="AJ1820" s="1" t="s">
        <v>172</v>
      </c>
      <c r="AK1820" s="1"/>
      <c r="AL1820" s="1"/>
      <c r="AM1820" s="1" t="s">
        <v>65</v>
      </c>
      <c r="AN1820" s="1" t="s">
        <v>2164</v>
      </c>
      <c r="AO1820" s="1"/>
      <c r="AP1820" s="2">
        <v>43761.7601388889</v>
      </c>
      <c r="AQ1820" s="1"/>
      <c r="AR1820" s="1" t="s">
        <v>644</v>
      </c>
      <c r="AS1820" s="1"/>
      <c r="AT1820" s="2">
        <v>44269.931099537</v>
      </c>
    </row>
    <row r="1821" ht="13.5" customHeight="1">
      <c r="A1821" s="1"/>
      <c r="B1821" s="1" t="s">
        <v>46</v>
      </c>
      <c r="C1821" s="1" t="s">
        <v>47</v>
      </c>
      <c r="D1821" s="1"/>
      <c r="E1821" s="1" t="s">
        <v>7502</v>
      </c>
      <c r="F1821" s="1"/>
      <c r="G1821" s="1" t="s">
        <v>49</v>
      </c>
      <c r="H1821" s="1" t="s">
        <v>93</v>
      </c>
      <c r="I1821" s="1">
        <v>1042500.0</v>
      </c>
      <c r="J1821" s="1"/>
      <c r="K1821" s="1"/>
      <c r="L1821" s="1"/>
      <c r="M1821" s="1" t="s">
        <v>7503</v>
      </c>
      <c r="N1821" s="1" t="s">
        <v>142</v>
      </c>
      <c r="O1821" s="1" t="s">
        <v>143</v>
      </c>
      <c r="P1821" s="2">
        <v>43761.6060763889</v>
      </c>
      <c r="Q1821" s="1" t="s">
        <v>74</v>
      </c>
      <c r="R1821" s="3">
        <v>43761.0</v>
      </c>
      <c r="S1821" s="1"/>
      <c r="T1821" s="1">
        <v>5105101.0</v>
      </c>
      <c r="U1821" s="1" t="s">
        <v>6647</v>
      </c>
      <c r="V1821" s="1" t="s">
        <v>164</v>
      </c>
      <c r="W1821" s="1" t="s">
        <v>177</v>
      </c>
      <c r="X1821" s="1"/>
      <c r="Y1821" s="1"/>
      <c r="Z1821" s="1" t="s">
        <v>147</v>
      </c>
      <c r="AA1821" s="1" t="s">
        <v>7504</v>
      </c>
      <c r="AB1821" s="1" t="str">
        <f>"***891228**"</f>
        <v>***891228**</v>
      </c>
      <c r="AC1821" s="1"/>
      <c r="AD1821" s="1" t="s">
        <v>2103</v>
      </c>
      <c r="AE1821" s="1"/>
      <c r="AF1821" s="1">
        <v>-57.631111</v>
      </c>
      <c r="AG1821" s="1">
        <v>-10.839167</v>
      </c>
      <c r="AH1821" s="1" t="s">
        <v>7505</v>
      </c>
      <c r="AI1821" s="1"/>
      <c r="AJ1821" s="1" t="s">
        <v>172</v>
      </c>
      <c r="AK1821" s="1"/>
      <c r="AL1821" s="1"/>
      <c r="AM1821" s="1" t="s">
        <v>65</v>
      </c>
      <c r="AN1821" s="1" t="s">
        <v>7489</v>
      </c>
      <c r="AO1821" s="1"/>
      <c r="AP1821" s="2">
        <v>44049.682349537</v>
      </c>
      <c r="AQ1821" s="1"/>
      <c r="AR1821" s="1" t="s">
        <v>644</v>
      </c>
      <c r="AS1821" s="1" t="s">
        <v>7506</v>
      </c>
      <c r="AT1821" s="2">
        <v>44269.931099537</v>
      </c>
    </row>
    <row r="1822" ht="13.5" customHeight="1">
      <c r="A1822" s="1">
        <v>2037509.0</v>
      </c>
      <c r="B1822" s="1" t="s">
        <v>67</v>
      </c>
      <c r="C1822" s="1" t="s">
        <v>68</v>
      </c>
      <c r="D1822" s="1" t="s">
        <v>46</v>
      </c>
      <c r="E1822" s="1" t="s">
        <v>7507</v>
      </c>
      <c r="F1822" s="1"/>
      <c r="G1822" s="1" t="s">
        <v>70</v>
      </c>
      <c r="H1822" s="1" t="s">
        <v>93</v>
      </c>
      <c r="I1822" s="1">
        <v>11500.0</v>
      </c>
      <c r="J1822" s="1"/>
      <c r="K1822" s="1"/>
      <c r="L1822" s="1" t="s">
        <v>131</v>
      </c>
      <c r="M1822" s="1" t="s">
        <v>7508</v>
      </c>
      <c r="N1822" s="1" t="s">
        <v>95</v>
      </c>
      <c r="O1822" s="1" t="s">
        <v>96</v>
      </c>
      <c r="P1822" s="2">
        <v>43761.6</v>
      </c>
      <c r="Q1822" s="1" t="s">
        <v>74</v>
      </c>
      <c r="R1822" s="1"/>
      <c r="S1822" s="1"/>
      <c r="T1822" s="1">
        <v>3148103.0</v>
      </c>
      <c r="U1822" s="1" t="s">
        <v>246</v>
      </c>
      <c r="V1822" s="1" t="s">
        <v>126</v>
      </c>
      <c r="W1822" s="1" t="s">
        <v>127</v>
      </c>
      <c r="X1822" s="1"/>
      <c r="Y1822" s="1" t="str">
        <f>"02553000588201999"</f>
        <v>02553000588201999</v>
      </c>
      <c r="Z1822" s="1" t="s">
        <v>98</v>
      </c>
      <c r="AA1822" s="1" t="s">
        <v>7509</v>
      </c>
      <c r="AB1822" s="1" t="str">
        <f>"***752066**"</f>
        <v>***752066**</v>
      </c>
      <c r="AC1822" s="1"/>
      <c r="AD1822" s="1" t="s">
        <v>116</v>
      </c>
      <c r="AE1822" s="1"/>
      <c r="AF1822" s="1">
        <v>-48.255278</v>
      </c>
      <c r="AG1822" s="1">
        <v>-18.892222</v>
      </c>
      <c r="AH1822" s="1" t="s">
        <v>7510</v>
      </c>
      <c r="AI1822" s="1"/>
      <c r="AJ1822" s="1"/>
      <c r="AK1822" s="1"/>
      <c r="AL1822" s="1" t="s">
        <v>118</v>
      </c>
      <c r="AM1822" s="1"/>
      <c r="AN1822" s="1"/>
      <c r="AO1822" s="2">
        <v>43999.5220486111</v>
      </c>
      <c r="AP1822" s="2">
        <v>43999.5220486111</v>
      </c>
      <c r="AQ1822" s="1" t="s">
        <v>80</v>
      </c>
      <c r="AR1822" s="1" t="s">
        <v>7511</v>
      </c>
      <c r="AS1822" s="1"/>
      <c r="AT1822" s="2">
        <v>44269.931099537</v>
      </c>
    </row>
    <row r="1823" ht="13.5" customHeight="1">
      <c r="A1823" s="1"/>
      <c r="B1823" s="1" t="s">
        <v>46</v>
      </c>
      <c r="C1823" s="1" t="s">
        <v>47</v>
      </c>
      <c r="D1823" s="1"/>
      <c r="E1823" s="1" t="s">
        <v>7512</v>
      </c>
      <c r="F1823" s="1"/>
      <c r="G1823" s="1"/>
      <c r="H1823" s="1" t="s">
        <v>93</v>
      </c>
      <c r="I1823" s="1">
        <v>1000.0</v>
      </c>
      <c r="J1823" s="1"/>
      <c r="K1823" s="1" t="s">
        <v>140</v>
      </c>
      <c r="L1823" s="1"/>
      <c r="M1823" s="1" t="s">
        <v>7513</v>
      </c>
      <c r="N1823" s="1" t="s">
        <v>977</v>
      </c>
      <c r="O1823" s="1" t="s">
        <v>978</v>
      </c>
      <c r="P1823" s="2">
        <v>43761.5975</v>
      </c>
      <c r="Q1823" s="1"/>
      <c r="R1823" s="1"/>
      <c r="S1823" s="1"/>
      <c r="T1823" s="1">
        <v>5106190.0</v>
      </c>
      <c r="U1823" s="1" t="s">
        <v>5890</v>
      </c>
      <c r="V1823" s="1" t="s">
        <v>164</v>
      </c>
      <c r="W1823" s="1" t="s">
        <v>177</v>
      </c>
      <c r="X1823" s="1"/>
      <c r="Y1823" s="1"/>
      <c r="Z1823" s="1" t="s">
        <v>980</v>
      </c>
      <c r="AA1823" s="1" t="s">
        <v>7514</v>
      </c>
      <c r="AB1823" s="1" t="str">
        <f>"***698591**"</f>
        <v>***698591**</v>
      </c>
      <c r="AC1823" s="1"/>
      <c r="AD1823" s="1" t="s">
        <v>62</v>
      </c>
      <c r="AE1823" s="1"/>
      <c r="AF1823" s="1">
        <v>-55.203335</v>
      </c>
      <c r="AG1823" s="1">
        <v>-10.923334</v>
      </c>
      <c r="AH1823" s="1" t="s">
        <v>7515</v>
      </c>
      <c r="AI1823" s="1"/>
      <c r="AJ1823" s="1" t="s">
        <v>167</v>
      </c>
      <c r="AK1823" s="1"/>
      <c r="AL1823" s="1"/>
      <c r="AM1823" s="1" t="s">
        <v>65</v>
      </c>
      <c r="AN1823" s="1" t="s">
        <v>6985</v>
      </c>
      <c r="AO1823" s="1"/>
      <c r="AP1823" s="2">
        <v>43761.6106712963</v>
      </c>
      <c r="AQ1823" s="1"/>
      <c r="AR1823" s="1" t="s">
        <v>3544</v>
      </c>
      <c r="AS1823" s="1"/>
      <c r="AT1823" s="2">
        <v>44269.931099537</v>
      </c>
    </row>
    <row r="1824" ht="13.5" customHeight="1">
      <c r="A1824" s="1">
        <v>2037533.0</v>
      </c>
      <c r="B1824" s="1" t="s">
        <v>67</v>
      </c>
      <c r="C1824" s="1" t="s">
        <v>68</v>
      </c>
      <c r="D1824" s="1" t="s">
        <v>46</v>
      </c>
      <c r="E1824" s="1" t="s">
        <v>7516</v>
      </c>
      <c r="F1824" s="1"/>
      <c r="G1824" s="1" t="s">
        <v>70</v>
      </c>
      <c r="H1824" s="1" t="s">
        <v>93</v>
      </c>
      <c r="I1824" s="1">
        <v>1800.0</v>
      </c>
      <c r="J1824" s="1"/>
      <c r="K1824" s="1"/>
      <c r="L1824" s="1" t="s">
        <v>167</v>
      </c>
      <c r="M1824" s="1" t="s">
        <v>7517</v>
      </c>
      <c r="N1824" s="1" t="s">
        <v>283</v>
      </c>
      <c r="O1824" s="1" t="s">
        <v>978</v>
      </c>
      <c r="P1824" s="2">
        <v>43761.5833333333</v>
      </c>
      <c r="Q1824" s="1" t="s">
        <v>55</v>
      </c>
      <c r="R1824" s="3">
        <v>43761.0</v>
      </c>
      <c r="S1824" s="1"/>
      <c r="T1824" s="1">
        <v>5106190.0</v>
      </c>
      <c r="U1824" s="1" t="s">
        <v>5890</v>
      </c>
      <c r="V1824" s="1" t="s">
        <v>164</v>
      </c>
      <c r="W1824" s="1" t="s">
        <v>177</v>
      </c>
      <c r="X1824" s="1"/>
      <c r="Y1824" s="1" t="str">
        <f>"02013006724201961"</f>
        <v>02013006724201961</v>
      </c>
      <c r="Z1824" s="1" t="s">
        <v>980</v>
      </c>
      <c r="AA1824" s="1" t="s">
        <v>7518</v>
      </c>
      <c r="AB1824" s="1" t="str">
        <f>"07231203000138"</f>
        <v>07231203000138</v>
      </c>
      <c r="AC1824" s="1"/>
      <c r="AD1824" s="1" t="s">
        <v>116</v>
      </c>
      <c r="AE1824" s="1"/>
      <c r="AF1824" s="1">
        <v>-55.203333</v>
      </c>
      <c r="AG1824" s="1">
        <v>-10.923333</v>
      </c>
      <c r="AH1824" s="1" t="s">
        <v>7515</v>
      </c>
      <c r="AI1824" s="1"/>
      <c r="AJ1824" s="1" t="s">
        <v>167</v>
      </c>
      <c r="AK1824" s="1" t="s">
        <v>7519</v>
      </c>
      <c r="AL1824" s="1" t="s">
        <v>79</v>
      </c>
      <c r="AM1824" s="1" t="s">
        <v>65</v>
      </c>
      <c r="AN1824" s="1" t="s">
        <v>6985</v>
      </c>
      <c r="AO1824" s="2">
        <v>44000.0</v>
      </c>
      <c r="AP1824" s="2">
        <v>44020.6915625</v>
      </c>
      <c r="AQ1824" s="1" t="s">
        <v>80</v>
      </c>
      <c r="AR1824" s="1" t="s">
        <v>7520</v>
      </c>
      <c r="AS1824" s="1"/>
      <c r="AT1824" s="2">
        <v>44269.931099537</v>
      </c>
    </row>
    <row r="1825" ht="13.5" customHeight="1">
      <c r="A1825" s="1">
        <v>2038071.0</v>
      </c>
      <c r="B1825" s="1" t="s">
        <v>67</v>
      </c>
      <c r="C1825" s="1" t="s">
        <v>68</v>
      </c>
      <c r="D1825" s="1" t="s">
        <v>46</v>
      </c>
      <c r="E1825" s="1" t="s">
        <v>7521</v>
      </c>
      <c r="F1825" s="1"/>
      <c r="G1825" s="1" t="s">
        <v>70</v>
      </c>
      <c r="H1825" s="1" t="s">
        <v>50</v>
      </c>
      <c r="I1825" s="1">
        <v>311500.0</v>
      </c>
      <c r="J1825" s="1"/>
      <c r="K1825" s="1"/>
      <c r="L1825" s="1" t="s">
        <v>444</v>
      </c>
      <c r="M1825" s="1" t="s">
        <v>7522</v>
      </c>
      <c r="N1825" s="1" t="s">
        <v>142</v>
      </c>
      <c r="O1825" s="1" t="s">
        <v>143</v>
      </c>
      <c r="P1825" s="2">
        <v>43761.5833333333</v>
      </c>
      <c r="Q1825" s="1" t="s">
        <v>74</v>
      </c>
      <c r="R1825" s="3">
        <v>43796.0</v>
      </c>
      <c r="S1825" s="1"/>
      <c r="T1825" s="1">
        <v>1100205.0</v>
      </c>
      <c r="U1825" s="1" t="s">
        <v>653</v>
      </c>
      <c r="V1825" s="1" t="s">
        <v>448</v>
      </c>
      <c r="W1825" s="1" t="s">
        <v>177</v>
      </c>
      <c r="X1825" s="1"/>
      <c r="Y1825" s="1"/>
      <c r="Z1825" s="1" t="s">
        <v>147</v>
      </c>
      <c r="AA1825" s="1" t="s">
        <v>7523</v>
      </c>
      <c r="AB1825" s="1" t="str">
        <f>"25983093000142"</f>
        <v>25983093000142</v>
      </c>
      <c r="AC1825" s="1"/>
      <c r="AD1825" s="1"/>
      <c r="AE1825" s="1"/>
      <c r="AF1825" s="1">
        <v>-63.749722</v>
      </c>
      <c r="AG1825" s="1">
        <v>-8.802222</v>
      </c>
      <c r="AH1825" s="1" t="s">
        <v>7307</v>
      </c>
      <c r="AI1825" s="1"/>
      <c r="AJ1825" s="1" t="s">
        <v>444</v>
      </c>
      <c r="AK1825" s="1"/>
      <c r="AL1825" s="1" t="s">
        <v>79</v>
      </c>
      <c r="AM1825" s="1" t="s">
        <v>65</v>
      </c>
      <c r="AN1825" s="1" t="s">
        <v>4428</v>
      </c>
      <c r="AO1825" s="2">
        <v>44020.0</v>
      </c>
      <c r="AP1825" s="2">
        <v>44020.4693865741</v>
      </c>
      <c r="AQ1825" s="1" t="s">
        <v>80</v>
      </c>
      <c r="AR1825" s="1" t="s">
        <v>81</v>
      </c>
      <c r="AS1825" s="1"/>
      <c r="AT1825" s="2">
        <v>44269.931099537</v>
      </c>
    </row>
    <row r="1826" ht="13.5" customHeight="1">
      <c r="A1826" s="1"/>
      <c r="B1826" s="1" t="s">
        <v>46</v>
      </c>
      <c r="C1826" s="1" t="s">
        <v>47</v>
      </c>
      <c r="D1826" s="1"/>
      <c r="E1826" s="1" t="s">
        <v>7524</v>
      </c>
      <c r="F1826" s="1"/>
      <c r="G1826" s="1"/>
      <c r="H1826" s="1" t="s">
        <v>93</v>
      </c>
      <c r="I1826" s="1">
        <v>14400.0</v>
      </c>
      <c r="J1826" s="1"/>
      <c r="K1826" s="1"/>
      <c r="L1826" s="1"/>
      <c r="M1826" s="1" t="s">
        <v>7525</v>
      </c>
      <c r="N1826" s="1" t="s">
        <v>142</v>
      </c>
      <c r="O1826" s="1" t="s">
        <v>143</v>
      </c>
      <c r="P1826" s="2">
        <v>43761.5545138889</v>
      </c>
      <c r="Q1826" s="1" t="s">
        <v>373</v>
      </c>
      <c r="R1826" s="1"/>
      <c r="S1826" s="1"/>
      <c r="T1826" s="1">
        <v>2208007.0</v>
      </c>
      <c r="U1826" s="1" t="s">
        <v>894</v>
      </c>
      <c r="V1826" s="1" t="s">
        <v>895</v>
      </c>
      <c r="W1826" s="1" t="s">
        <v>113</v>
      </c>
      <c r="X1826" s="1"/>
      <c r="Y1826" s="1"/>
      <c r="Z1826" s="1" t="s">
        <v>147</v>
      </c>
      <c r="AA1826" s="1" t="s">
        <v>7526</v>
      </c>
      <c r="AB1826" s="1" t="str">
        <f>"***859714**"</f>
        <v>***859714**</v>
      </c>
      <c r="AC1826" s="1"/>
      <c r="AD1826" s="1" t="s">
        <v>149</v>
      </c>
      <c r="AE1826" s="1"/>
      <c r="AF1826" s="1">
        <v>-41.411114</v>
      </c>
      <c r="AG1826" s="1">
        <v>-7.078889</v>
      </c>
      <c r="AH1826" s="1" t="s">
        <v>7527</v>
      </c>
      <c r="AI1826" s="1"/>
      <c r="AJ1826" s="1" t="s">
        <v>898</v>
      </c>
      <c r="AK1826" s="1"/>
      <c r="AL1826" s="1"/>
      <c r="AM1826" s="1" t="s">
        <v>65</v>
      </c>
      <c r="AN1826" s="1" t="s">
        <v>7428</v>
      </c>
      <c r="AO1826" s="1"/>
      <c r="AP1826" s="2">
        <v>43761.6020138889</v>
      </c>
      <c r="AQ1826" s="1"/>
      <c r="AR1826" s="1" t="s">
        <v>280</v>
      </c>
      <c r="AS1826" s="1"/>
      <c r="AT1826" s="2">
        <v>44269.931099537</v>
      </c>
    </row>
    <row r="1827" ht="13.5" customHeight="1">
      <c r="A1827" s="1">
        <v>2035201.0</v>
      </c>
      <c r="B1827" s="1" t="s">
        <v>67</v>
      </c>
      <c r="C1827" s="1" t="s">
        <v>68</v>
      </c>
      <c r="D1827" s="1" t="s">
        <v>46</v>
      </c>
      <c r="E1827" s="1" t="s">
        <v>7528</v>
      </c>
      <c r="F1827" s="1"/>
      <c r="G1827" s="1" t="s">
        <v>70</v>
      </c>
      <c r="H1827" s="1" t="s">
        <v>93</v>
      </c>
      <c r="I1827" s="1">
        <v>450000.0</v>
      </c>
      <c r="J1827" s="1"/>
      <c r="K1827" s="1"/>
      <c r="L1827" s="1" t="s">
        <v>172</v>
      </c>
      <c r="M1827" s="1" t="s">
        <v>7529</v>
      </c>
      <c r="N1827" s="1" t="s">
        <v>142</v>
      </c>
      <c r="O1827" s="1" t="s">
        <v>143</v>
      </c>
      <c r="P1827" s="2">
        <v>43761.5416666667</v>
      </c>
      <c r="Q1827" s="1" t="s">
        <v>373</v>
      </c>
      <c r="R1827" s="3">
        <v>43761.0</v>
      </c>
      <c r="S1827" s="1"/>
      <c r="T1827" s="1">
        <v>1300144.0</v>
      </c>
      <c r="U1827" s="1" t="s">
        <v>7328</v>
      </c>
      <c r="V1827" s="1" t="s">
        <v>486</v>
      </c>
      <c r="W1827" s="1" t="s">
        <v>177</v>
      </c>
      <c r="X1827" s="1"/>
      <c r="Y1827" s="1" t="str">
        <f>"02001006222202011"</f>
        <v>02001006222202011</v>
      </c>
      <c r="Z1827" s="1" t="s">
        <v>147</v>
      </c>
      <c r="AA1827" s="1" t="s">
        <v>7530</v>
      </c>
      <c r="AB1827" s="1" t="str">
        <f>"***534952**"</f>
        <v>***534952**</v>
      </c>
      <c r="AC1827" s="1"/>
      <c r="AD1827" s="1"/>
      <c r="AE1827" s="1"/>
      <c r="AF1827" s="1">
        <v>-59.077778</v>
      </c>
      <c r="AG1827" s="1">
        <v>-6.7725</v>
      </c>
      <c r="AH1827" s="1" t="s">
        <v>7531</v>
      </c>
      <c r="AI1827" s="1"/>
      <c r="AJ1827" s="1" t="s">
        <v>172</v>
      </c>
      <c r="AK1827" s="1"/>
      <c r="AL1827" s="1" t="s">
        <v>79</v>
      </c>
      <c r="AM1827" s="1" t="s">
        <v>65</v>
      </c>
      <c r="AN1827" s="1" t="s">
        <v>7331</v>
      </c>
      <c r="AO1827" s="2">
        <v>43896.0</v>
      </c>
      <c r="AP1827" s="2">
        <v>43896.6276851852</v>
      </c>
      <c r="AQ1827" s="1" t="s">
        <v>80</v>
      </c>
      <c r="AR1827" s="1" t="s">
        <v>650</v>
      </c>
      <c r="AS1827" s="1"/>
      <c r="AT1827" s="2">
        <v>44269.931099537</v>
      </c>
    </row>
    <row r="1828" ht="13.5" customHeight="1">
      <c r="A1828" s="1">
        <v>2041834.0</v>
      </c>
      <c r="B1828" s="1" t="s">
        <v>67</v>
      </c>
      <c r="C1828" s="1" t="s">
        <v>68</v>
      </c>
      <c r="D1828" s="1" t="s">
        <v>46</v>
      </c>
      <c r="E1828" s="1" t="s">
        <v>7532</v>
      </c>
      <c r="F1828" s="1"/>
      <c r="G1828" s="1" t="s">
        <v>70</v>
      </c>
      <c r="H1828" s="1" t="s">
        <v>50</v>
      </c>
      <c r="I1828" s="1">
        <v>1100.0</v>
      </c>
      <c r="J1828" s="1"/>
      <c r="K1828" s="1"/>
      <c r="L1828" s="1" t="s">
        <v>406</v>
      </c>
      <c r="M1828" s="1" t="s">
        <v>7533</v>
      </c>
      <c r="N1828" s="1" t="s">
        <v>108</v>
      </c>
      <c r="O1828" s="1" t="s">
        <v>109</v>
      </c>
      <c r="P1828" s="2">
        <v>43761.5416666667</v>
      </c>
      <c r="Q1828" s="1" t="s">
        <v>373</v>
      </c>
      <c r="R1828" s="3">
        <v>43761.0</v>
      </c>
      <c r="S1828" s="1" t="s">
        <v>7534</v>
      </c>
      <c r="T1828" s="1">
        <v>3203320.0</v>
      </c>
      <c r="U1828" s="1" t="s">
        <v>7535</v>
      </c>
      <c r="V1828" s="1" t="s">
        <v>403</v>
      </c>
      <c r="W1828" s="1" t="s">
        <v>288</v>
      </c>
      <c r="X1828" s="1"/>
      <c r="Y1828" s="1" t="str">
        <f>"02009002330202037"</f>
        <v>02009002330202037</v>
      </c>
      <c r="Z1828" s="1" t="s">
        <v>226</v>
      </c>
      <c r="AA1828" s="1" t="s">
        <v>7536</v>
      </c>
      <c r="AB1828" s="1" t="str">
        <f t="shared" ref="AB1828:AB1830" si="114">"05645331000100"</f>
        <v>05645331000100</v>
      </c>
      <c r="AC1828" s="1"/>
      <c r="AD1828" s="1"/>
      <c r="AE1828" s="1"/>
      <c r="AF1828" s="1">
        <v>-40.808334</v>
      </c>
      <c r="AG1828" s="1">
        <v>-21.008333</v>
      </c>
      <c r="AH1828" s="1" t="s">
        <v>7537</v>
      </c>
      <c r="AI1828" s="1"/>
      <c r="AJ1828" s="1" t="s">
        <v>406</v>
      </c>
      <c r="AK1828" s="1"/>
      <c r="AL1828" s="1" t="s">
        <v>79</v>
      </c>
      <c r="AM1828" s="1" t="s">
        <v>65</v>
      </c>
      <c r="AN1828" s="1" t="s">
        <v>7538</v>
      </c>
      <c r="AO1828" s="2">
        <v>44176.0</v>
      </c>
      <c r="AP1828" s="2">
        <v>44176.5678356482</v>
      </c>
      <c r="AQ1828" s="1" t="s">
        <v>80</v>
      </c>
      <c r="AR1828" s="1" t="s">
        <v>1136</v>
      </c>
      <c r="AS1828" s="1"/>
      <c r="AT1828" s="2">
        <v>44269.931099537</v>
      </c>
    </row>
    <row r="1829" ht="13.5" customHeight="1">
      <c r="A1829" s="1">
        <v>2041835.0</v>
      </c>
      <c r="B1829" s="1" t="s">
        <v>67</v>
      </c>
      <c r="C1829" s="1" t="s">
        <v>68</v>
      </c>
      <c r="D1829" s="1" t="s">
        <v>46</v>
      </c>
      <c r="E1829" s="1" t="s">
        <v>7539</v>
      </c>
      <c r="F1829" s="1"/>
      <c r="G1829" s="1" t="s">
        <v>70</v>
      </c>
      <c r="H1829" s="1" t="s">
        <v>50</v>
      </c>
      <c r="I1829" s="1">
        <v>18374.64</v>
      </c>
      <c r="J1829" s="1"/>
      <c r="K1829" s="1"/>
      <c r="L1829" s="1" t="s">
        <v>406</v>
      </c>
      <c r="M1829" s="1" t="s">
        <v>7540</v>
      </c>
      <c r="N1829" s="1" t="s">
        <v>108</v>
      </c>
      <c r="O1829" s="1" t="s">
        <v>109</v>
      </c>
      <c r="P1829" s="2">
        <v>43761.5416666667</v>
      </c>
      <c r="Q1829" s="1" t="s">
        <v>373</v>
      </c>
      <c r="R1829" s="3">
        <v>43761.0</v>
      </c>
      <c r="S1829" s="1" t="s">
        <v>7534</v>
      </c>
      <c r="T1829" s="1">
        <v>3203320.0</v>
      </c>
      <c r="U1829" s="1" t="s">
        <v>7535</v>
      </c>
      <c r="V1829" s="1" t="s">
        <v>403</v>
      </c>
      <c r="W1829" s="1" t="s">
        <v>288</v>
      </c>
      <c r="X1829" s="1"/>
      <c r="Y1829" s="1" t="str">
        <f>"02009002331202081"</f>
        <v>02009002331202081</v>
      </c>
      <c r="Z1829" s="1" t="s">
        <v>226</v>
      </c>
      <c r="AA1829" s="1" t="s">
        <v>7536</v>
      </c>
      <c r="AB1829" s="1" t="str">
        <f t="shared" si="114"/>
        <v>05645331000100</v>
      </c>
      <c r="AC1829" s="1"/>
      <c r="AD1829" s="1"/>
      <c r="AE1829" s="1"/>
      <c r="AF1829" s="1">
        <v>-40.808334</v>
      </c>
      <c r="AG1829" s="1">
        <v>-21.008333</v>
      </c>
      <c r="AH1829" s="1" t="s">
        <v>7541</v>
      </c>
      <c r="AI1829" s="1"/>
      <c r="AJ1829" s="1" t="s">
        <v>406</v>
      </c>
      <c r="AK1829" s="1"/>
      <c r="AL1829" s="1" t="s">
        <v>79</v>
      </c>
      <c r="AM1829" s="1" t="s">
        <v>65</v>
      </c>
      <c r="AN1829" s="1" t="s">
        <v>7538</v>
      </c>
      <c r="AO1829" s="2">
        <v>44176.0</v>
      </c>
      <c r="AP1829" s="2">
        <v>44176.5681597222</v>
      </c>
      <c r="AQ1829" s="1" t="s">
        <v>80</v>
      </c>
      <c r="AR1829" s="1" t="s">
        <v>81</v>
      </c>
      <c r="AS1829" s="1"/>
      <c r="AT1829" s="2">
        <v>44269.931099537</v>
      </c>
    </row>
    <row r="1830" ht="13.5" customHeight="1">
      <c r="A1830" s="1">
        <v>2041836.0</v>
      </c>
      <c r="B1830" s="1" t="s">
        <v>67</v>
      </c>
      <c r="C1830" s="1" t="s">
        <v>68</v>
      </c>
      <c r="D1830" s="1" t="s">
        <v>46</v>
      </c>
      <c r="E1830" s="1" t="s">
        <v>7542</v>
      </c>
      <c r="F1830" s="1"/>
      <c r="G1830" s="1" t="s">
        <v>70</v>
      </c>
      <c r="H1830" s="1" t="s">
        <v>50</v>
      </c>
      <c r="I1830" s="1">
        <v>2500.0</v>
      </c>
      <c r="J1830" s="1"/>
      <c r="K1830" s="1"/>
      <c r="L1830" s="1" t="s">
        <v>406</v>
      </c>
      <c r="M1830" s="1" t="s">
        <v>7543</v>
      </c>
      <c r="N1830" s="1" t="s">
        <v>108</v>
      </c>
      <c r="O1830" s="1" t="s">
        <v>109</v>
      </c>
      <c r="P1830" s="2">
        <v>43761.5416666667</v>
      </c>
      <c r="Q1830" s="1" t="s">
        <v>373</v>
      </c>
      <c r="R1830" s="3">
        <v>43761.0</v>
      </c>
      <c r="S1830" s="1" t="s">
        <v>7534</v>
      </c>
      <c r="T1830" s="1">
        <v>3203320.0</v>
      </c>
      <c r="U1830" s="1" t="s">
        <v>7535</v>
      </c>
      <c r="V1830" s="1" t="s">
        <v>403</v>
      </c>
      <c r="W1830" s="1" t="s">
        <v>288</v>
      </c>
      <c r="X1830" s="1"/>
      <c r="Y1830" s="1" t="str">
        <f>"02009002332202026"</f>
        <v>02009002332202026</v>
      </c>
      <c r="Z1830" s="1" t="s">
        <v>226</v>
      </c>
      <c r="AA1830" s="1" t="s">
        <v>7536</v>
      </c>
      <c r="AB1830" s="1" t="str">
        <f t="shared" si="114"/>
        <v>05645331000100</v>
      </c>
      <c r="AC1830" s="1"/>
      <c r="AD1830" s="1"/>
      <c r="AE1830" s="1"/>
      <c r="AF1830" s="1">
        <v>-40.808334</v>
      </c>
      <c r="AG1830" s="1">
        <v>-21.008333</v>
      </c>
      <c r="AH1830" s="1" t="s">
        <v>7537</v>
      </c>
      <c r="AI1830" s="1"/>
      <c r="AJ1830" s="1" t="s">
        <v>406</v>
      </c>
      <c r="AK1830" s="1"/>
      <c r="AL1830" s="1" t="s">
        <v>79</v>
      </c>
      <c r="AM1830" s="1" t="s">
        <v>65</v>
      </c>
      <c r="AN1830" s="1" t="s">
        <v>7538</v>
      </c>
      <c r="AO1830" s="2">
        <v>44176.0</v>
      </c>
      <c r="AP1830" s="2">
        <v>44176.5683796296</v>
      </c>
      <c r="AQ1830" s="1" t="s">
        <v>80</v>
      </c>
      <c r="AR1830" s="1" t="s">
        <v>81</v>
      </c>
      <c r="AS1830" s="1"/>
      <c r="AT1830" s="2">
        <v>44269.931099537</v>
      </c>
    </row>
    <row r="1831" ht="13.5" customHeight="1">
      <c r="A1831" s="1"/>
      <c r="B1831" s="1" t="s">
        <v>46</v>
      </c>
      <c r="C1831" s="1" t="s">
        <v>47</v>
      </c>
      <c r="D1831" s="1"/>
      <c r="E1831" s="1" t="s">
        <v>7544</v>
      </c>
      <c r="F1831" s="1"/>
      <c r="G1831" s="1" t="s">
        <v>49</v>
      </c>
      <c r="H1831" s="1" t="s">
        <v>50</v>
      </c>
      <c r="I1831" s="1"/>
      <c r="J1831" s="1"/>
      <c r="K1831" s="1"/>
      <c r="L1831" s="1"/>
      <c r="M1831" s="1" t="s">
        <v>7545</v>
      </c>
      <c r="N1831" s="1" t="s">
        <v>53</v>
      </c>
      <c r="O1831" s="1" t="s">
        <v>54</v>
      </c>
      <c r="P1831" s="2">
        <v>43761.5359143519</v>
      </c>
      <c r="Q1831" s="1"/>
      <c r="R1831" s="1"/>
      <c r="S1831" s="1"/>
      <c r="T1831" s="1">
        <v>3200409.0</v>
      </c>
      <c r="U1831" s="1" t="s">
        <v>6762</v>
      </c>
      <c r="V1831" s="1" t="s">
        <v>403</v>
      </c>
      <c r="W1831" s="1" t="s">
        <v>288</v>
      </c>
      <c r="X1831" s="1"/>
      <c r="Y1831" s="1" t="str">
        <f>"02001006586202093"</f>
        <v>02001006586202093</v>
      </c>
      <c r="Z1831" s="1" t="s">
        <v>60</v>
      </c>
      <c r="AA1831" s="1" t="s">
        <v>7546</v>
      </c>
      <c r="AB1831" s="1" t="str">
        <f>"***331047**"</f>
        <v>***331047**</v>
      </c>
      <c r="AC1831" s="1"/>
      <c r="AD1831" s="1" t="s">
        <v>62</v>
      </c>
      <c r="AE1831" s="1"/>
      <c r="AF1831" s="1">
        <v>-40.655834</v>
      </c>
      <c r="AG1831" s="1">
        <v>-20.804722</v>
      </c>
      <c r="AH1831" s="1" t="s">
        <v>7547</v>
      </c>
      <c r="AI1831" s="1"/>
      <c r="AJ1831" s="1" t="s">
        <v>172</v>
      </c>
      <c r="AK1831" s="1"/>
      <c r="AL1831" s="1"/>
      <c r="AM1831" s="1" t="s">
        <v>65</v>
      </c>
      <c r="AN1831" s="1" t="s">
        <v>6765</v>
      </c>
      <c r="AO1831" s="1"/>
      <c r="AP1831" s="2">
        <v>44041.6382175926</v>
      </c>
      <c r="AQ1831" s="1"/>
      <c r="AR1831" s="1" t="s">
        <v>4259</v>
      </c>
      <c r="AS1831" s="1"/>
      <c r="AT1831" s="2">
        <v>44269.931099537</v>
      </c>
    </row>
    <row r="1832" ht="13.5" customHeight="1">
      <c r="A1832" s="1"/>
      <c r="B1832" s="1" t="s">
        <v>46</v>
      </c>
      <c r="C1832" s="1" t="s">
        <v>47</v>
      </c>
      <c r="D1832" s="1"/>
      <c r="E1832" s="1" t="s">
        <v>7548</v>
      </c>
      <c r="F1832" s="1"/>
      <c r="G1832" s="1" t="s">
        <v>49</v>
      </c>
      <c r="H1832" s="1" t="s">
        <v>93</v>
      </c>
      <c r="I1832" s="1">
        <v>9930.0</v>
      </c>
      <c r="J1832" s="1"/>
      <c r="K1832" s="1"/>
      <c r="L1832" s="1"/>
      <c r="M1832" s="1" t="s">
        <v>7549</v>
      </c>
      <c r="N1832" s="1" t="s">
        <v>142</v>
      </c>
      <c r="O1832" s="1" t="s">
        <v>143</v>
      </c>
      <c r="P1832" s="2">
        <v>43761.5307523148</v>
      </c>
      <c r="Q1832" s="1" t="s">
        <v>373</v>
      </c>
      <c r="R1832" s="1"/>
      <c r="S1832" s="1"/>
      <c r="T1832" s="1">
        <v>2200277.0</v>
      </c>
      <c r="U1832" s="1" t="s">
        <v>7550</v>
      </c>
      <c r="V1832" s="1" t="s">
        <v>895</v>
      </c>
      <c r="W1832" s="1" t="s">
        <v>113</v>
      </c>
      <c r="X1832" s="1"/>
      <c r="Y1832" s="1"/>
      <c r="Z1832" s="1" t="s">
        <v>147</v>
      </c>
      <c r="AA1832" s="1" t="s">
        <v>7551</v>
      </c>
      <c r="AB1832" s="1" t="str">
        <f>"***412425**"</f>
        <v>***412425**</v>
      </c>
      <c r="AC1832" s="1"/>
      <c r="AD1832" s="1" t="s">
        <v>149</v>
      </c>
      <c r="AE1832" s="1"/>
      <c r="AF1832" s="1">
        <v>-40.871387</v>
      </c>
      <c r="AG1832" s="1">
        <v>-7.230556</v>
      </c>
      <c r="AH1832" s="1" t="s">
        <v>7552</v>
      </c>
      <c r="AI1832" s="1"/>
      <c r="AJ1832" s="1" t="s">
        <v>898</v>
      </c>
      <c r="AK1832" s="1"/>
      <c r="AL1832" s="1"/>
      <c r="AM1832" s="1" t="s">
        <v>65</v>
      </c>
      <c r="AN1832" s="1" t="s">
        <v>152</v>
      </c>
      <c r="AO1832" s="1"/>
      <c r="AP1832" s="2">
        <v>44055.7674305556</v>
      </c>
      <c r="AQ1832" s="1"/>
      <c r="AR1832" s="1" t="s">
        <v>280</v>
      </c>
      <c r="AS1832" s="1"/>
      <c r="AT1832" s="2">
        <v>44269.931099537</v>
      </c>
    </row>
    <row r="1833" ht="13.5" customHeight="1">
      <c r="A1833" s="1"/>
      <c r="B1833" s="1" t="s">
        <v>46</v>
      </c>
      <c r="C1833" s="1" t="s">
        <v>47</v>
      </c>
      <c r="D1833" s="1"/>
      <c r="E1833" s="1" t="s">
        <v>7553</v>
      </c>
      <c r="F1833" s="1"/>
      <c r="G1833" s="1" t="s">
        <v>49</v>
      </c>
      <c r="H1833" s="1" t="s">
        <v>93</v>
      </c>
      <c r="I1833" s="1">
        <v>1000.0</v>
      </c>
      <c r="J1833" s="1"/>
      <c r="K1833" s="1"/>
      <c r="L1833" s="1"/>
      <c r="M1833" s="1" t="s">
        <v>7554</v>
      </c>
      <c r="N1833" s="1" t="s">
        <v>108</v>
      </c>
      <c r="O1833" s="1" t="s">
        <v>109</v>
      </c>
      <c r="P1833" s="2">
        <v>43761.5032291667</v>
      </c>
      <c r="Q1833" s="1" t="s">
        <v>373</v>
      </c>
      <c r="R1833" s="1"/>
      <c r="S1833" s="1"/>
      <c r="T1833" s="1">
        <v>5103403.0</v>
      </c>
      <c r="U1833" s="1" t="s">
        <v>221</v>
      </c>
      <c r="V1833" s="1" t="s">
        <v>164</v>
      </c>
      <c r="W1833" s="1" t="s">
        <v>177</v>
      </c>
      <c r="X1833" s="1"/>
      <c r="Y1833" s="1"/>
      <c r="Z1833" s="1" t="s">
        <v>226</v>
      </c>
      <c r="AA1833" s="1" t="s">
        <v>6596</v>
      </c>
      <c r="AB1833" s="1" t="str">
        <f>"***458631**"</f>
        <v>***458631**</v>
      </c>
      <c r="AC1833" s="1"/>
      <c r="AD1833" s="1" t="s">
        <v>62</v>
      </c>
      <c r="AE1833" s="1"/>
      <c r="AF1833" s="1">
        <v>-56.059998</v>
      </c>
      <c r="AG1833" s="1">
        <v>-15.558611</v>
      </c>
      <c r="AH1833" s="1" t="s">
        <v>7555</v>
      </c>
      <c r="AI1833" s="1"/>
      <c r="AJ1833" s="1" t="s">
        <v>167</v>
      </c>
      <c r="AK1833" s="1"/>
      <c r="AL1833" s="1"/>
      <c r="AM1833" s="1" t="s">
        <v>65</v>
      </c>
      <c r="AN1833" s="1" t="s">
        <v>132</v>
      </c>
      <c r="AO1833" s="1"/>
      <c r="AP1833" s="2">
        <v>43978.7781828704</v>
      </c>
      <c r="AQ1833" s="1"/>
      <c r="AR1833" s="1" t="s">
        <v>2843</v>
      </c>
      <c r="AS1833" s="1"/>
      <c r="AT1833" s="2">
        <v>44269.931099537</v>
      </c>
    </row>
    <row r="1834" ht="13.5" customHeight="1">
      <c r="A1834" s="1">
        <v>2038821.0</v>
      </c>
      <c r="B1834" s="1" t="s">
        <v>67</v>
      </c>
      <c r="C1834" s="1" t="s">
        <v>68</v>
      </c>
      <c r="D1834" s="1" t="s">
        <v>46</v>
      </c>
      <c r="E1834" s="1" t="s">
        <v>7556</v>
      </c>
      <c r="F1834" s="1"/>
      <c r="G1834" s="1" t="s">
        <v>70</v>
      </c>
      <c r="H1834" s="1" t="s">
        <v>50</v>
      </c>
      <c r="I1834" s="1">
        <v>220000.0</v>
      </c>
      <c r="J1834" s="1"/>
      <c r="K1834" s="1"/>
      <c r="L1834" s="1" t="s">
        <v>1172</v>
      </c>
      <c r="M1834" s="1" t="s">
        <v>7557</v>
      </c>
      <c r="N1834" s="1" t="s">
        <v>72</v>
      </c>
      <c r="O1834" s="1" t="s">
        <v>73</v>
      </c>
      <c r="P1834" s="2">
        <v>43761.5</v>
      </c>
      <c r="Q1834" s="1" t="s">
        <v>74</v>
      </c>
      <c r="R1834" s="1"/>
      <c r="S1834" s="1"/>
      <c r="T1834" s="1">
        <v>1507300.0</v>
      </c>
      <c r="U1834" s="1" t="s">
        <v>3161</v>
      </c>
      <c r="V1834" s="1" t="s">
        <v>193</v>
      </c>
      <c r="W1834" s="1" t="s">
        <v>177</v>
      </c>
      <c r="X1834" s="1"/>
      <c r="Y1834" s="1"/>
      <c r="Z1834" s="1" t="s">
        <v>76</v>
      </c>
      <c r="AA1834" s="1" t="s">
        <v>7129</v>
      </c>
      <c r="AB1834" s="1" t="str">
        <f>"***200202**"</f>
        <v>***200202**</v>
      </c>
      <c r="AC1834" s="1"/>
      <c r="AD1834" s="1"/>
      <c r="AE1834" s="1"/>
      <c r="AF1834" s="1">
        <v>-51.208336</v>
      </c>
      <c r="AG1834" s="1">
        <v>-5.485</v>
      </c>
      <c r="AH1834" s="1" t="s">
        <v>7350</v>
      </c>
      <c r="AI1834" s="1"/>
      <c r="AJ1834" s="1" t="s">
        <v>1172</v>
      </c>
      <c r="AK1834" s="1"/>
      <c r="AL1834" s="1" t="s">
        <v>79</v>
      </c>
      <c r="AM1834" s="1" t="s">
        <v>65</v>
      </c>
      <c r="AN1834" s="1" t="s">
        <v>6919</v>
      </c>
      <c r="AO1834" s="2">
        <v>44046.0</v>
      </c>
      <c r="AP1834" s="2">
        <v>44046.8378240741</v>
      </c>
      <c r="AQ1834" s="1" t="s">
        <v>80</v>
      </c>
      <c r="AR1834" s="1" t="s">
        <v>1607</v>
      </c>
      <c r="AS1834" s="1"/>
      <c r="AT1834" s="2">
        <v>44269.931099537</v>
      </c>
    </row>
    <row r="1835" ht="13.5" customHeight="1">
      <c r="A1835" s="1"/>
      <c r="B1835" s="1" t="s">
        <v>46</v>
      </c>
      <c r="C1835" s="1" t="s">
        <v>47</v>
      </c>
      <c r="D1835" s="1"/>
      <c r="E1835" s="1" t="s">
        <v>7558</v>
      </c>
      <c r="F1835" s="1"/>
      <c r="G1835" s="1"/>
      <c r="H1835" s="1" t="s">
        <v>93</v>
      </c>
      <c r="I1835" s="1">
        <v>5305000.0</v>
      </c>
      <c r="J1835" s="1"/>
      <c r="K1835" s="1"/>
      <c r="L1835" s="1"/>
      <c r="M1835" s="1" t="s">
        <v>7559</v>
      </c>
      <c r="N1835" s="1" t="s">
        <v>72</v>
      </c>
      <c r="O1835" s="1" t="s">
        <v>1364</v>
      </c>
      <c r="P1835" s="2">
        <v>43761.4718981482</v>
      </c>
      <c r="Q1835" s="1" t="s">
        <v>74</v>
      </c>
      <c r="R1835" s="3">
        <v>43773.0</v>
      </c>
      <c r="S1835" s="1"/>
      <c r="T1835" s="1">
        <v>5100805.0</v>
      </c>
      <c r="U1835" s="1" t="s">
        <v>5697</v>
      </c>
      <c r="V1835" s="1" t="s">
        <v>164</v>
      </c>
      <c r="W1835" s="1" t="s">
        <v>177</v>
      </c>
      <c r="X1835" s="1"/>
      <c r="Y1835" s="1"/>
      <c r="Z1835" s="1"/>
      <c r="AA1835" s="1" t="s">
        <v>7560</v>
      </c>
      <c r="AB1835" s="1" t="str">
        <f>"10534596000163"</f>
        <v>10534596000163</v>
      </c>
      <c r="AC1835" s="1"/>
      <c r="AD1835" s="1"/>
      <c r="AE1835" s="1"/>
      <c r="AF1835" s="1">
        <v>-57.794445</v>
      </c>
      <c r="AG1835" s="1">
        <v>-9.310555</v>
      </c>
      <c r="AH1835" s="1" t="s">
        <v>7561</v>
      </c>
      <c r="AI1835" s="1"/>
      <c r="AJ1835" s="1" t="s">
        <v>172</v>
      </c>
      <c r="AK1835" s="1"/>
      <c r="AL1835" s="1"/>
      <c r="AM1835" s="1" t="s">
        <v>65</v>
      </c>
      <c r="AN1835" s="1" t="s">
        <v>6258</v>
      </c>
      <c r="AO1835" s="1"/>
      <c r="AP1835" s="2">
        <v>43761.5035648148</v>
      </c>
      <c r="AQ1835" s="1"/>
      <c r="AR1835" s="1" t="s">
        <v>159</v>
      </c>
      <c r="AS1835" s="1"/>
      <c r="AT1835" s="2">
        <v>44269.931099537</v>
      </c>
    </row>
    <row r="1836" ht="13.5" customHeight="1">
      <c r="A1836" s="1">
        <v>2035586.0</v>
      </c>
      <c r="B1836" s="1" t="s">
        <v>67</v>
      </c>
      <c r="C1836" s="1" t="s">
        <v>68</v>
      </c>
      <c r="D1836" s="1" t="s">
        <v>46</v>
      </c>
      <c r="E1836" s="1" t="s">
        <v>7562</v>
      </c>
      <c r="F1836" s="1"/>
      <c r="G1836" s="1" t="s">
        <v>70</v>
      </c>
      <c r="H1836" s="1" t="s">
        <v>93</v>
      </c>
      <c r="I1836" s="1">
        <v>88000.0</v>
      </c>
      <c r="J1836" s="1"/>
      <c r="K1836" s="1"/>
      <c r="L1836" s="1" t="s">
        <v>358</v>
      </c>
      <c r="M1836" s="1" t="s">
        <v>7563</v>
      </c>
      <c r="N1836" s="1" t="s">
        <v>142</v>
      </c>
      <c r="O1836" s="1" t="s">
        <v>143</v>
      </c>
      <c r="P1836" s="2">
        <v>43761.4583333333</v>
      </c>
      <c r="Q1836" s="1" t="s">
        <v>373</v>
      </c>
      <c r="R1836" s="3">
        <v>43761.0</v>
      </c>
      <c r="S1836" s="1"/>
      <c r="T1836" s="1">
        <v>4119301.0</v>
      </c>
      <c r="U1836" s="1" t="s">
        <v>5798</v>
      </c>
      <c r="V1836" s="1" t="s">
        <v>176</v>
      </c>
      <c r="W1836" s="1" t="s">
        <v>59</v>
      </c>
      <c r="X1836" s="1"/>
      <c r="Y1836" s="1"/>
      <c r="Z1836" s="1" t="s">
        <v>147</v>
      </c>
      <c r="AA1836" s="1" t="s">
        <v>7564</v>
      </c>
      <c r="AB1836" s="1" t="str">
        <f>"***918369**"</f>
        <v>***918369**</v>
      </c>
      <c r="AC1836" s="1"/>
      <c r="AD1836" s="1"/>
      <c r="AE1836" s="1"/>
      <c r="AF1836" s="1">
        <v>-51.377777</v>
      </c>
      <c r="AG1836" s="1">
        <v>-25.708612</v>
      </c>
      <c r="AH1836" s="1" t="s">
        <v>7565</v>
      </c>
      <c r="AI1836" s="1"/>
      <c r="AJ1836" s="1" t="s">
        <v>358</v>
      </c>
      <c r="AK1836" s="1"/>
      <c r="AL1836" s="1" t="s">
        <v>79</v>
      </c>
      <c r="AM1836" s="1" t="s">
        <v>65</v>
      </c>
      <c r="AN1836" s="1" t="s">
        <v>1696</v>
      </c>
      <c r="AO1836" s="2">
        <v>43909.0</v>
      </c>
      <c r="AP1836" s="2">
        <v>43909.4601273148</v>
      </c>
      <c r="AQ1836" s="1" t="s">
        <v>80</v>
      </c>
      <c r="AR1836" s="1" t="s">
        <v>7566</v>
      </c>
      <c r="AS1836" s="1"/>
      <c r="AT1836" s="2">
        <v>44269.931099537</v>
      </c>
    </row>
    <row r="1837" ht="13.5" customHeight="1">
      <c r="A1837" s="1"/>
      <c r="B1837" s="1" t="s">
        <v>46</v>
      </c>
      <c r="C1837" s="1" t="s">
        <v>47</v>
      </c>
      <c r="D1837" s="1"/>
      <c r="E1837" s="1" t="s">
        <v>7567</v>
      </c>
      <c r="F1837" s="1"/>
      <c r="G1837" s="1" t="s">
        <v>49</v>
      </c>
      <c r="H1837" s="1" t="s">
        <v>93</v>
      </c>
      <c r="I1837" s="1">
        <v>9000.0</v>
      </c>
      <c r="J1837" s="1"/>
      <c r="K1837" s="1"/>
      <c r="L1837" s="1"/>
      <c r="M1837" s="1" t="s">
        <v>7568</v>
      </c>
      <c r="N1837" s="1" t="s">
        <v>108</v>
      </c>
      <c r="O1837" s="1" t="s">
        <v>109</v>
      </c>
      <c r="P1837" s="2">
        <v>43761.4293865741</v>
      </c>
      <c r="Q1837" s="1" t="s">
        <v>55</v>
      </c>
      <c r="R1837" s="1"/>
      <c r="S1837" s="1"/>
      <c r="T1837" s="1">
        <v>5106190.0</v>
      </c>
      <c r="U1837" s="1" t="s">
        <v>5890</v>
      </c>
      <c r="V1837" s="1" t="s">
        <v>164</v>
      </c>
      <c r="W1837" s="1" t="s">
        <v>177</v>
      </c>
      <c r="X1837" s="1"/>
      <c r="Y1837" s="1"/>
      <c r="Z1837" s="1" t="s">
        <v>226</v>
      </c>
      <c r="AA1837" s="1" t="s">
        <v>7569</v>
      </c>
      <c r="AB1837" s="1" t="str">
        <f>"15046287000168"</f>
        <v>15046287000168</v>
      </c>
      <c r="AC1837" s="1"/>
      <c r="AD1837" s="1" t="s">
        <v>62</v>
      </c>
      <c r="AE1837" s="1"/>
      <c r="AF1837" s="1">
        <v>-55.203335</v>
      </c>
      <c r="AG1837" s="1">
        <v>-10.923056</v>
      </c>
      <c r="AH1837" s="1" t="s">
        <v>7570</v>
      </c>
      <c r="AI1837" s="1"/>
      <c r="AJ1837" s="1" t="s">
        <v>167</v>
      </c>
      <c r="AK1837" s="1"/>
      <c r="AL1837" s="1"/>
      <c r="AM1837" s="1" t="s">
        <v>65</v>
      </c>
      <c r="AN1837" s="1" t="s">
        <v>6985</v>
      </c>
      <c r="AO1837" s="1"/>
      <c r="AP1837" s="2">
        <v>44004.4912731482</v>
      </c>
      <c r="AQ1837" s="1"/>
      <c r="AR1837" s="1" t="s">
        <v>1328</v>
      </c>
      <c r="AS1837" s="1"/>
      <c r="AT1837" s="2">
        <v>44269.931099537</v>
      </c>
    </row>
    <row r="1838" ht="13.5" customHeight="1">
      <c r="A1838" s="1">
        <v>2035587.0</v>
      </c>
      <c r="B1838" s="1" t="s">
        <v>67</v>
      </c>
      <c r="C1838" s="1" t="s">
        <v>68</v>
      </c>
      <c r="D1838" s="1" t="s">
        <v>46</v>
      </c>
      <c r="E1838" s="1" t="s">
        <v>7571</v>
      </c>
      <c r="F1838" s="1"/>
      <c r="G1838" s="1" t="s">
        <v>70</v>
      </c>
      <c r="H1838" s="1" t="s">
        <v>93</v>
      </c>
      <c r="I1838" s="1">
        <v>52800.0</v>
      </c>
      <c r="J1838" s="1"/>
      <c r="K1838" s="1"/>
      <c r="L1838" s="1" t="s">
        <v>358</v>
      </c>
      <c r="M1838" s="1" t="s">
        <v>7572</v>
      </c>
      <c r="N1838" s="1" t="s">
        <v>142</v>
      </c>
      <c r="O1838" s="1" t="s">
        <v>143</v>
      </c>
      <c r="P1838" s="2">
        <v>43761.4166666667</v>
      </c>
      <c r="Q1838" s="1" t="s">
        <v>373</v>
      </c>
      <c r="R1838" s="3">
        <v>43761.0</v>
      </c>
      <c r="S1838" s="1"/>
      <c r="T1838" s="1">
        <v>4119301.0</v>
      </c>
      <c r="U1838" s="1" t="s">
        <v>5798</v>
      </c>
      <c r="V1838" s="1" t="s">
        <v>176</v>
      </c>
      <c r="W1838" s="1" t="s">
        <v>59</v>
      </c>
      <c r="X1838" s="1"/>
      <c r="Y1838" s="1" t="str">
        <f>"02017004637201930"</f>
        <v>02017004637201930</v>
      </c>
      <c r="Z1838" s="1" t="s">
        <v>147</v>
      </c>
      <c r="AA1838" s="1" t="s">
        <v>7573</v>
      </c>
      <c r="AB1838" s="1" t="str">
        <f>"***770279**"</f>
        <v>***770279**</v>
      </c>
      <c r="AC1838" s="1"/>
      <c r="AD1838" s="1"/>
      <c r="AE1838" s="1"/>
      <c r="AF1838" s="1">
        <v>-51.384445</v>
      </c>
      <c r="AG1838" s="1">
        <v>-25.713057</v>
      </c>
      <c r="AH1838" s="1" t="s">
        <v>7574</v>
      </c>
      <c r="AI1838" s="1"/>
      <c r="AJ1838" s="1" t="s">
        <v>358</v>
      </c>
      <c r="AK1838" s="1"/>
      <c r="AL1838" s="1" t="s">
        <v>79</v>
      </c>
      <c r="AM1838" s="1" t="s">
        <v>65</v>
      </c>
      <c r="AN1838" s="1" t="s">
        <v>1696</v>
      </c>
      <c r="AO1838" s="2">
        <v>43909.0</v>
      </c>
      <c r="AP1838" s="2">
        <v>43909.4603240741</v>
      </c>
      <c r="AQ1838" s="1" t="s">
        <v>80</v>
      </c>
      <c r="AR1838" s="1" t="s">
        <v>7566</v>
      </c>
      <c r="AS1838" s="1"/>
      <c r="AT1838" s="2">
        <v>44269.931099537</v>
      </c>
    </row>
    <row r="1839" ht="13.5" customHeight="1">
      <c r="A1839" s="1">
        <v>2036758.0</v>
      </c>
      <c r="B1839" s="1" t="s">
        <v>67</v>
      </c>
      <c r="C1839" s="1" t="s">
        <v>68</v>
      </c>
      <c r="D1839" s="1" t="s">
        <v>46</v>
      </c>
      <c r="E1839" s="1" t="s">
        <v>7575</v>
      </c>
      <c r="F1839" s="1"/>
      <c r="G1839" s="1" t="s">
        <v>70</v>
      </c>
      <c r="H1839" s="1" t="s">
        <v>50</v>
      </c>
      <c r="I1839" s="1">
        <v>210000.0</v>
      </c>
      <c r="J1839" s="1"/>
      <c r="K1839" s="1"/>
      <c r="L1839" s="1" t="s">
        <v>172</v>
      </c>
      <c r="M1839" s="1" t="s">
        <v>7576</v>
      </c>
      <c r="N1839" s="1" t="s">
        <v>142</v>
      </c>
      <c r="O1839" s="1" t="s">
        <v>143</v>
      </c>
      <c r="P1839" s="2">
        <v>43761.4166666667</v>
      </c>
      <c r="Q1839" s="1" t="s">
        <v>74</v>
      </c>
      <c r="R1839" s="3">
        <v>43773.0</v>
      </c>
      <c r="S1839" s="1"/>
      <c r="T1839" s="1">
        <v>5100805.0</v>
      </c>
      <c r="U1839" s="1" t="s">
        <v>5697</v>
      </c>
      <c r="V1839" s="1" t="s">
        <v>164</v>
      </c>
      <c r="W1839" s="1" t="s">
        <v>177</v>
      </c>
      <c r="X1839" s="1"/>
      <c r="Y1839" s="1" t="str">
        <f>"02001012096202026"</f>
        <v>02001012096202026</v>
      </c>
      <c r="Z1839" s="1" t="s">
        <v>147</v>
      </c>
      <c r="AA1839" s="1" t="s">
        <v>7577</v>
      </c>
      <c r="AB1839" s="1" t="str">
        <f>"10534596000163"</f>
        <v>10534596000163</v>
      </c>
      <c r="AC1839" s="1"/>
      <c r="AD1839" s="1"/>
      <c r="AE1839" s="1"/>
      <c r="AF1839" s="1">
        <v>-57.794445</v>
      </c>
      <c r="AG1839" s="1">
        <v>-9.310555</v>
      </c>
      <c r="AH1839" s="1" t="s">
        <v>7578</v>
      </c>
      <c r="AI1839" s="1"/>
      <c r="AJ1839" s="1" t="s">
        <v>172</v>
      </c>
      <c r="AK1839" s="1"/>
      <c r="AL1839" s="1" t="s">
        <v>79</v>
      </c>
      <c r="AM1839" s="1" t="s">
        <v>65</v>
      </c>
      <c r="AN1839" s="1" t="s">
        <v>6258</v>
      </c>
      <c r="AO1839" s="2">
        <v>43970.0</v>
      </c>
      <c r="AP1839" s="2">
        <v>43970.6085648148</v>
      </c>
      <c r="AQ1839" s="1" t="s">
        <v>80</v>
      </c>
      <c r="AR1839" s="1" t="s">
        <v>1607</v>
      </c>
      <c r="AS1839" s="1"/>
      <c r="AT1839" s="2">
        <v>44269.931099537</v>
      </c>
    </row>
    <row r="1840" ht="13.5" customHeight="1">
      <c r="A1840" s="1">
        <v>2038885.0</v>
      </c>
      <c r="B1840" s="1" t="s">
        <v>67</v>
      </c>
      <c r="C1840" s="1" t="s">
        <v>68</v>
      </c>
      <c r="D1840" s="1" t="s">
        <v>46</v>
      </c>
      <c r="E1840" s="1" t="s">
        <v>7579</v>
      </c>
      <c r="F1840" s="1"/>
      <c r="G1840" s="1" t="s">
        <v>70</v>
      </c>
      <c r="H1840" s="1" t="s">
        <v>93</v>
      </c>
      <c r="I1840" s="1">
        <v>690000.0</v>
      </c>
      <c r="J1840" s="1"/>
      <c r="K1840" s="1"/>
      <c r="L1840" s="1" t="s">
        <v>172</v>
      </c>
      <c r="M1840" s="1" t="s">
        <v>7580</v>
      </c>
      <c r="N1840" s="1" t="s">
        <v>142</v>
      </c>
      <c r="O1840" s="1" t="s">
        <v>143</v>
      </c>
      <c r="P1840" s="2">
        <v>43761.375</v>
      </c>
      <c r="Q1840" s="1" t="s">
        <v>373</v>
      </c>
      <c r="R1840" s="3">
        <v>43761.0</v>
      </c>
      <c r="S1840" s="1"/>
      <c r="T1840" s="1">
        <v>1503606.0</v>
      </c>
      <c r="U1840" s="1" t="s">
        <v>5687</v>
      </c>
      <c r="V1840" s="1" t="s">
        <v>193</v>
      </c>
      <c r="W1840" s="1" t="s">
        <v>177</v>
      </c>
      <c r="X1840" s="1"/>
      <c r="Y1840" s="1" t="str">
        <f>"02001017893202008"</f>
        <v>02001017893202008</v>
      </c>
      <c r="Z1840" s="1" t="s">
        <v>147</v>
      </c>
      <c r="AA1840" s="1" t="s">
        <v>7581</v>
      </c>
      <c r="AB1840" s="1" t="str">
        <f>"***199502**"</f>
        <v>***199502**</v>
      </c>
      <c r="AC1840" s="1"/>
      <c r="AD1840" s="1"/>
      <c r="AE1840" s="1"/>
      <c r="AF1840" s="1">
        <v>-55.706944</v>
      </c>
      <c r="AG1840" s="1">
        <v>-6.133945</v>
      </c>
      <c r="AH1840" s="1" t="s">
        <v>7582</v>
      </c>
      <c r="AI1840" s="1"/>
      <c r="AJ1840" s="1" t="s">
        <v>172</v>
      </c>
      <c r="AK1840" s="1"/>
      <c r="AL1840" s="1" t="s">
        <v>79</v>
      </c>
      <c r="AM1840" s="1" t="s">
        <v>65</v>
      </c>
      <c r="AN1840" s="1" t="s">
        <v>6258</v>
      </c>
      <c r="AO1840" s="2">
        <v>44047.0</v>
      </c>
      <c r="AP1840" s="2">
        <v>44047.7651041667</v>
      </c>
      <c r="AQ1840" s="1" t="s">
        <v>80</v>
      </c>
      <c r="AR1840" s="1" t="s">
        <v>650</v>
      </c>
      <c r="AS1840" s="1"/>
      <c r="AT1840" s="2">
        <v>44269.931099537</v>
      </c>
    </row>
    <row r="1841" ht="13.5" customHeight="1">
      <c r="A1841" s="1"/>
      <c r="B1841" s="1" t="s">
        <v>46</v>
      </c>
      <c r="C1841" s="1" t="s">
        <v>47</v>
      </c>
      <c r="D1841" s="1"/>
      <c r="E1841" s="1" t="s">
        <v>7583</v>
      </c>
      <c r="F1841" s="1"/>
      <c r="G1841" s="1"/>
      <c r="H1841" s="1" t="s">
        <v>93</v>
      </c>
      <c r="I1841" s="1">
        <v>540000.0</v>
      </c>
      <c r="J1841" s="1"/>
      <c r="K1841" s="1"/>
      <c r="L1841" s="1"/>
      <c r="M1841" s="1" t="s">
        <v>7584</v>
      </c>
      <c r="N1841" s="1" t="s">
        <v>142</v>
      </c>
      <c r="O1841" s="1" t="s">
        <v>143</v>
      </c>
      <c r="P1841" s="2">
        <v>43761.365787037</v>
      </c>
      <c r="Q1841" s="1" t="s">
        <v>74</v>
      </c>
      <c r="R1841" s="3">
        <v>43761.0</v>
      </c>
      <c r="S1841" s="1"/>
      <c r="T1841" s="1">
        <v>5100805.0</v>
      </c>
      <c r="U1841" s="1" t="s">
        <v>5697</v>
      </c>
      <c r="V1841" s="1" t="s">
        <v>164</v>
      </c>
      <c r="W1841" s="1" t="s">
        <v>177</v>
      </c>
      <c r="X1841" s="1"/>
      <c r="Y1841" s="1"/>
      <c r="Z1841" s="1" t="s">
        <v>147</v>
      </c>
      <c r="AA1841" s="1" t="s">
        <v>7585</v>
      </c>
      <c r="AB1841" s="1" t="str">
        <f>"***937291**"</f>
        <v>***937291**</v>
      </c>
      <c r="AC1841" s="1"/>
      <c r="AD1841" s="1" t="s">
        <v>2103</v>
      </c>
      <c r="AE1841" s="1"/>
      <c r="AF1841" s="1"/>
      <c r="AG1841" s="1">
        <v>-9.361111</v>
      </c>
      <c r="AH1841" s="1" t="s">
        <v>7586</v>
      </c>
      <c r="AI1841" s="1"/>
      <c r="AJ1841" s="1" t="s">
        <v>172</v>
      </c>
      <c r="AK1841" s="1"/>
      <c r="AL1841" s="1"/>
      <c r="AM1841" s="1" t="s">
        <v>65</v>
      </c>
      <c r="AN1841" s="1" t="s">
        <v>6258</v>
      </c>
      <c r="AO1841" s="1"/>
      <c r="AP1841" s="2">
        <v>43761.3807291667</v>
      </c>
      <c r="AQ1841" s="1"/>
      <c r="AR1841" s="1" t="s">
        <v>7587</v>
      </c>
      <c r="AS1841" s="1"/>
      <c r="AT1841" s="2">
        <v>44269.931099537</v>
      </c>
    </row>
    <row r="1842" ht="13.5" customHeight="1">
      <c r="A1842" s="1"/>
      <c r="B1842" s="1" t="s">
        <v>46</v>
      </c>
      <c r="C1842" s="1" t="s">
        <v>47</v>
      </c>
      <c r="D1842" s="1"/>
      <c r="E1842" s="1" t="s">
        <v>7588</v>
      </c>
      <c r="F1842" s="1"/>
      <c r="G1842" s="1"/>
      <c r="H1842" s="1" t="s">
        <v>93</v>
      </c>
      <c r="I1842" s="1">
        <v>715000.0</v>
      </c>
      <c r="J1842" s="1"/>
      <c r="K1842" s="1"/>
      <c r="L1842" s="1"/>
      <c r="M1842" s="1" t="s">
        <v>7589</v>
      </c>
      <c r="N1842" s="1" t="s">
        <v>142</v>
      </c>
      <c r="O1842" s="1" t="s">
        <v>143</v>
      </c>
      <c r="P1842" s="2">
        <v>43761.3596412037</v>
      </c>
      <c r="Q1842" s="1" t="s">
        <v>373</v>
      </c>
      <c r="R1842" s="1"/>
      <c r="S1842" s="1"/>
      <c r="T1842" s="1">
        <v>1500602.0</v>
      </c>
      <c r="U1842" s="1" t="s">
        <v>5135</v>
      </c>
      <c r="V1842" s="1" t="s">
        <v>193</v>
      </c>
      <c r="W1842" s="1" t="s">
        <v>177</v>
      </c>
      <c r="X1842" s="1"/>
      <c r="Y1842" s="1"/>
      <c r="Z1842" s="1" t="s">
        <v>147</v>
      </c>
      <c r="AA1842" s="1" t="s">
        <v>7590</v>
      </c>
      <c r="AB1842" s="1" t="str">
        <f>"***316842**"</f>
        <v>***316842**</v>
      </c>
      <c r="AC1842" s="1"/>
      <c r="AD1842" s="1" t="s">
        <v>116</v>
      </c>
      <c r="AE1842" s="1"/>
      <c r="AF1842" s="1">
        <v>-55.415836</v>
      </c>
      <c r="AG1842" s="1">
        <v>-7.026111</v>
      </c>
      <c r="AH1842" s="1" t="s">
        <v>7591</v>
      </c>
      <c r="AI1842" s="1"/>
      <c r="AJ1842" s="1" t="s">
        <v>172</v>
      </c>
      <c r="AK1842" s="1"/>
      <c r="AL1842" s="1"/>
      <c r="AM1842" s="1" t="s">
        <v>65</v>
      </c>
      <c r="AN1842" s="1" t="s">
        <v>6258</v>
      </c>
      <c r="AO1842" s="1"/>
      <c r="AP1842" s="2">
        <v>43761.3919560185</v>
      </c>
      <c r="AQ1842" s="1"/>
      <c r="AR1842" s="1" t="s">
        <v>169</v>
      </c>
      <c r="AS1842" s="1"/>
      <c r="AT1842" s="2">
        <v>44269.931099537</v>
      </c>
    </row>
    <row r="1843" ht="13.5" customHeight="1">
      <c r="A1843" s="1">
        <v>2036757.0</v>
      </c>
      <c r="B1843" s="1" t="s">
        <v>67</v>
      </c>
      <c r="C1843" s="1" t="s">
        <v>68</v>
      </c>
      <c r="D1843" s="1" t="s">
        <v>46</v>
      </c>
      <c r="E1843" s="1" t="s">
        <v>7592</v>
      </c>
      <c r="F1843" s="1"/>
      <c r="G1843" s="1" t="s">
        <v>70</v>
      </c>
      <c r="H1843" s="1" t="s">
        <v>50</v>
      </c>
      <c r="I1843" s="1">
        <v>952500.0</v>
      </c>
      <c r="J1843" s="1"/>
      <c r="K1843" s="1"/>
      <c r="L1843" s="1" t="s">
        <v>172</v>
      </c>
      <c r="M1843" s="1" t="s">
        <v>7593</v>
      </c>
      <c r="N1843" s="1" t="s">
        <v>142</v>
      </c>
      <c r="O1843" s="1" t="s">
        <v>143</v>
      </c>
      <c r="P1843" s="2">
        <v>43761.25</v>
      </c>
      <c r="Q1843" s="1" t="s">
        <v>373</v>
      </c>
      <c r="R1843" s="3">
        <v>43761.0</v>
      </c>
      <c r="S1843" s="1"/>
      <c r="T1843" s="1">
        <v>5106158.0</v>
      </c>
      <c r="U1843" s="1" t="s">
        <v>1700</v>
      </c>
      <c r="V1843" s="1" t="s">
        <v>164</v>
      </c>
      <c r="W1843" s="1" t="s">
        <v>177</v>
      </c>
      <c r="X1843" s="1"/>
      <c r="Y1843" s="1" t="str">
        <f>"02001012094202037"</f>
        <v>02001012094202037</v>
      </c>
      <c r="Z1843" s="1" t="s">
        <v>147</v>
      </c>
      <c r="AA1843" s="1" t="s">
        <v>7594</v>
      </c>
      <c r="AB1843" s="1" t="str">
        <f>"***638171**"</f>
        <v>***638171**</v>
      </c>
      <c r="AC1843" s="1"/>
      <c r="AD1843" s="1"/>
      <c r="AE1843" s="1"/>
      <c r="AF1843" s="1">
        <v>-58.096947</v>
      </c>
      <c r="AG1843" s="1">
        <v>-9.985</v>
      </c>
      <c r="AH1843" s="1" t="s">
        <v>7595</v>
      </c>
      <c r="AI1843" s="1"/>
      <c r="AJ1843" s="1" t="s">
        <v>172</v>
      </c>
      <c r="AK1843" s="1"/>
      <c r="AL1843" s="1" t="s">
        <v>79</v>
      </c>
      <c r="AM1843" s="1" t="s">
        <v>65</v>
      </c>
      <c r="AN1843" s="1" t="s">
        <v>6258</v>
      </c>
      <c r="AO1843" s="2">
        <v>43970.0</v>
      </c>
      <c r="AP1843" s="2">
        <v>43970.5983912037</v>
      </c>
      <c r="AQ1843" s="1" t="s">
        <v>80</v>
      </c>
      <c r="AR1843" s="1" t="s">
        <v>636</v>
      </c>
      <c r="AS1843" s="1"/>
      <c r="AT1843" s="2">
        <v>44269.931099537</v>
      </c>
    </row>
    <row r="1844" ht="13.5" customHeight="1">
      <c r="A1844" s="1">
        <v>2036756.0</v>
      </c>
      <c r="B1844" s="1" t="s">
        <v>67</v>
      </c>
      <c r="C1844" s="1" t="s">
        <v>68</v>
      </c>
      <c r="D1844" s="1" t="s">
        <v>46</v>
      </c>
      <c r="E1844" s="1" t="s">
        <v>7596</v>
      </c>
      <c r="F1844" s="1"/>
      <c r="G1844" s="1" t="s">
        <v>70</v>
      </c>
      <c r="H1844" s="1" t="s">
        <v>50</v>
      </c>
      <c r="I1844" s="1">
        <v>637500.0</v>
      </c>
      <c r="J1844" s="1"/>
      <c r="K1844" s="1"/>
      <c r="L1844" s="1" t="s">
        <v>172</v>
      </c>
      <c r="M1844" s="1" t="s">
        <v>7597</v>
      </c>
      <c r="N1844" s="1" t="s">
        <v>142</v>
      </c>
      <c r="O1844" s="1" t="s">
        <v>143</v>
      </c>
      <c r="P1844" s="2">
        <v>43761.2083333333</v>
      </c>
      <c r="Q1844" s="1" t="s">
        <v>373</v>
      </c>
      <c r="R1844" s="3">
        <v>43761.0</v>
      </c>
      <c r="S1844" s="1"/>
      <c r="T1844" s="1">
        <v>5106158.0</v>
      </c>
      <c r="U1844" s="1" t="s">
        <v>1700</v>
      </c>
      <c r="V1844" s="1" t="s">
        <v>164</v>
      </c>
      <c r="W1844" s="1" t="s">
        <v>177</v>
      </c>
      <c r="X1844" s="1"/>
      <c r="Y1844" s="1" t="str">
        <f>"02001012091202001"</f>
        <v>02001012091202001</v>
      </c>
      <c r="Z1844" s="1" t="s">
        <v>147</v>
      </c>
      <c r="AA1844" s="1" t="s">
        <v>7598</v>
      </c>
      <c r="AB1844" s="1" t="str">
        <f>"***842511**"</f>
        <v>***842511**</v>
      </c>
      <c r="AC1844" s="1"/>
      <c r="AD1844" s="1"/>
      <c r="AE1844" s="1"/>
      <c r="AF1844" s="1">
        <v>-57.952499</v>
      </c>
      <c r="AG1844" s="1">
        <v>-9.868889</v>
      </c>
      <c r="AH1844" s="1" t="s">
        <v>7599</v>
      </c>
      <c r="AI1844" s="1"/>
      <c r="AJ1844" s="1" t="s">
        <v>172</v>
      </c>
      <c r="AK1844" s="1"/>
      <c r="AL1844" s="1" t="s">
        <v>79</v>
      </c>
      <c r="AM1844" s="1" t="s">
        <v>65</v>
      </c>
      <c r="AN1844" s="1" t="s">
        <v>6258</v>
      </c>
      <c r="AO1844" s="2">
        <v>43970.0</v>
      </c>
      <c r="AP1844" s="2">
        <v>43970.5885069445</v>
      </c>
      <c r="AQ1844" s="1" t="s">
        <v>80</v>
      </c>
      <c r="AR1844" s="1" t="s">
        <v>636</v>
      </c>
      <c r="AS1844" s="1"/>
      <c r="AT1844" s="2">
        <v>44269.931099537</v>
      </c>
    </row>
    <row r="1845" ht="13.5" customHeight="1">
      <c r="A1845" s="1"/>
      <c r="B1845" s="1" t="s">
        <v>46</v>
      </c>
      <c r="C1845" s="1" t="s">
        <v>47</v>
      </c>
      <c r="D1845" s="1"/>
      <c r="E1845" s="1" t="s">
        <v>7600</v>
      </c>
      <c r="F1845" s="1"/>
      <c r="G1845" s="1" t="s">
        <v>49</v>
      </c>
      <c r="H1845" s="1" t="s">
        <v>93</v>
      </c>
      <c r="I1845" s="1">
        <v>465000.0</v>
      </c>
      <c r="J1845" s="1"/>
      <c r="K1845" s="1"/>
      <c r="L1845" s="1"/>
      <c r="M1845" s="1" t="s">
        <v>7601</v>
      </c>
      <c r="N1845" s="1" t="s">
        <v>142</v>
      </c>
      <c r="O1845" s="1" t="s">
        <v>143</v>
      </c>
      <c r="P1845" s="2">
        <v>43761.1667013889</v>
      </c>
      <c r="Q1845" s="1" t="s">
        <v>373</v>
      </c>
      <c r="R1845" s="1"/>
      <c r="S1845" s="1"/>
      <c r="T1845" s="1">
        <v>5100805.0</v>
      </c>
      <c r="U1845" s="1" t="s">
        <v>5697</v>
      </c>
      <c r="V1845" s="1" t="s">
        <v>164</v>
      </c>
      <c r="W1845" s="1" t="s">
        <v>177</v>
      </c>
      <c r="X1845" s="1"/>
      <c r="Y1845" s="1"/>
      <c r="Z1845" s="1" t="s">
        <v>147</v>
      </c>
      <c r="AA1845" s="1" t="s">
        <v>7602</v>
      </c>
      <c r="AB1845" s="1" t="str">
        <f>"***991721**"</f>
        <v>***991721**</v>
      </c>
      <c r="AC1845" s="1"/>
      <c r="AD1845" s="1" t="s">
        <v>2103</v>
      </c>
      <c r="AE1845" s="1"/>
      <c r="AF1845" s="1">
        <v>-57.626389</v>
      </c>
      <c r="AG1845" s="1">
        <v>-9.714444</v>
      </c>
      <c r="AH1845" s="1" t="s">
        <v>7603</v>
      </c>
      <c r="AI1845" s="1"/>
      <c r="AJ1845" s="1" t="s">
        <v>172</v>
      </c>
      <c r="AK1845" s="1"/>
      <c r="AL1845" s="1"/>
      <c r="AM1845" s="1" t="s">
        <v>65</v>
      </c>
      <c r="AN1845" s="1" t="s">
        <v>6258</v>
      </c>
      <c r="AO1845" s="1"/>
      <c r="AP1845" s="2">
        <v>43970.5991319444</v>
      </c>
      <c r="AQ1845" s="1"/>
      <c r="AR1845" s="1" t="s">
        <v>7325</v>
      </c>
      <c r="AS1845" s="1"/>
      <c r="AT1845" s="2">
        <v>44269.931099537</v>
      </c>
    </row>
    <row r="1846" ht="13.5" customHeight="1">
      <c r="A1846" s="1"/>
      <c r="B1846" s="1" t="s">
        <v>46</v>
      </c>
      <c r="C1846" s="1" t="s">
        <v>47</v>
      </c>
      <c r="D1846" s="1"/>
      <c r="E1846" s="1" t="s">
        <v>7604</v>
      </c>
      <c r="F1846" s="1"/>
      <c r="G1846" s="1" t="s">
        <v>49</v>
      </c>
      <c r="H1846" s="1" t="s">
        <v>50</v>
      </c>
      <c r="I1846" s="1">
        <v>5600.0</v>
      </c>
      <c r="J1846" s="1"/>
      <c r="K1846" s="1" t="s">
        <v>140</v>
      </c>
      <c r="L1846" s="1"/>
      <c r="M1846" s="1" t="s">
        <v>7605</v>
      </c>
      <c r="N1846" s="1" t="s">
        <v>123</v>
      </c>
      <c r="O1846" s="1" t="s">
        <v>73</v>
      </c>
      <c r="P1846" s="2">
        <v>43761.1528356482</v>
      </c>
      <c r="Q1846" s="1" t="s">
        <v>373</v>
      </c>
      <c r="R1846" s="1"/>
      <c r="S1846" s="1"/>
      <c r="T1846" s="1">
        <v>3203320.0</v>
      </c>
      <c r="U1846" s="1" t="s">
        <v>7535</v>
      </c>
      <c r="V1846" s="1" t="s">
        <v>403</v>
      </c>
      <c r="W1846" s="1" t="s">
        <v>288</v>
      </c>
      <c r="X1846" s="1"/>
      <c r="Y1846" s="1"/>
      <c r="Z1846" s="1" t="s">
        <v>76</v>
      </c>
      <c r="AA1846" s="1" t="s">
        <v>7606</v>
      </c>
      <c r="AB1846" s="1" t="str">
        <f>"14842832000160"</f>
        <v>14842832000160</v>
      </c>
      <c r="AC1846" s="1"/>
      <c r="AD1846" s="1" t="s">
        <v>62</v>
      </c>
      <c r="AE1846" s="1"/>
      <c r="AF1846" s="1">
        <v>-40.808334</v>
      </c>
      <c r="AG1846" s="1">
        <v>-21.008333</v>
      </c>
      <c r="AH1846" s="1" t="s">
        <v>7607</v>
      </c>
      <c r="AI1846" s="1"/>
      <c r="AJ1846" s="1" t="s">
        <v>406</v>
      </c>
      <c r="AK1846" s="1"/>
      <c r="AL1846" s="1"/>
      <c r="AM1846" s="1" t="s">
        <v>65</v>
      </c>
      <c r="AN1846" s="1" t="s">
        <v>7538</v>
      </c>
      <c r="AO1846" s="1"/>
      <c r="AP1846" s="2">
        <v>44014.6149652778</v>
      </c>
      <c r="AQ1846" s="1"/>
      <c r="AR1846" s="1" t="s">
        <v>1029</v>
      </c>
      <c r="AS1846" s="1"/>
      <c r="AT1846" s="2">
        <v>44269.931099537</v>
      </c>
    </row>
    <row r="1847" ht="13.5" customHeight="1">
      <c r="A1847" s="1"/>
      <c r="B1847" s="1" t="s">
        <v>46</v>
      </c>
      <c r="C1847" s="1" t="s">
        <v>657</v>
      </c>
      <c r="D1847" s="1" t="s">
        <v>67</v>
      </c>
      <c r="E1847" s="1" t="s">
        <v>7608</v>
      </c>
      <c r="F1847" s="1"/>
      <c r="G1847" s="1"/>
      <c r="H1847" s="1" t="s">
        <v>93</v>
      </c>
      <c r="I1847" s="1">
        <v>39300.0</v>
      </c>
      <c r="J1847" s="1"/>
      <c r="K1847" s="1"/>
      <c r="L1847" s="1"/>
      <c r="M1847" s="1" t="s">
        <v>7609</v>
      </c>
      <c r="N1847" s="1" t="s">
        <v>977</v>
      </c>
      <c r="O1847" s="1" t="s">
        <v>978</v>
      </c>
      <c r="P1847" s="2">
        <v>43761.1207175926</v>
      </c>
      <c r="Q1847" s="1" t="s">
        <v>373</v>
      </c>
      <c r="R1847" s="1"/>
      <c r="S1847" s="1"/>
      <c r="T1847" s="1">
        <v>1708205.0</v>
      </c>
      <c r="U1847" s="1" t="s">
        <v>4234</v>
      </c>
      <c r="V1847" s="1" t="s">
        <v>2156</v>
      </c>
      <c r="W1847" s="1" t="s">
        <v>127</v>
      </c>
      <c r="X1847" s="1"/>
      <c r="Y1847" s="1"/>
      <c r="Z1847" s="1" t="s">
        <v>980</v>
      </c>
      <c r="AA1847" s="1" t="s">
        <v>7610</v>
      </c>
      <c r="AB1847" s="1" t="str">
        <f t="shared" ref="AB1847:AB1848" si="115">"00355888000185"</f>
        <v>00355888000185</v>
      </c>
      <c r="AC1847" s="1"/>
      <c r="AD1847" s="1" t="s">
        <v>62</v>
      </c>
      <c r="AE1847" s="1"/>
      <c r="AF1847" s="1">
        <v>-49.710835</v>
      </c>
      <c r="AG1847" s="1">
        <v>-11.838888</v>
      </c>
      <c r="AH1847" s="1" t="s">
        <v>7611</v>
      </c>
      <c r="AI1847" s="1"/>
      <c r="AJ1847" s="1" t="s">
        <v>386</v>
      </c>
      <c r="AK1847" s="1"/>
      <c r="AL1847" s="1"/>
      <c r="AM1847" s="1" t="s">
        <v>65</v>
      </c>
      <c r="AN1847" s="1" t="s">
        <v>1551</v>
      </c>
      <c r="AO1847" s="1"/>
      <c r="AP1847" s="2">
        <v>43761.1324768519</v>
      </c>
      <c r="AQ1847" s="1"/>
      <c r="AR1847" s="1" t="s">
        <v>229</v>
      </c>
      <c r="AS1847" s="1"/>
      <c r="AT1847" s="2">
        <v>44269.931099537</v>
      </c>
    </row>
    <row r="1848" ht="13.5" customHeight="1">
      <c r="A1848" s="1"/>
      <c r="B1848" s="1" t="s">
        <v>46</v>
      </c>
      <c r="C1848" s="1" t="s">
        <v>657</v>
      </c>
      <c r="D1848" s="1" t="s">
        <v>67</v>
      </c>
      <c r="E1848" s="1" t="s">
        <v>7612</v>
      </c>
      <c r="F1848" s="1"/>
      <c r="G1848" s="1"/>
      <c r="H1848" s="1" t="s">
        <v>93</v>
      </c>
      <c r="I1848" s="1">
        <v>1441.6</v>
      </c>
      <c r="J1848" s="1"/>
      <c r="K1848" s="1"/>
      <c r="L1848" s="1"/>
      <c r="M1848" s="1" t="s">
        <v>7613</v>
      </c>
      <c r="N1848" s="1" t="s">
        <v>977</v>
      </c>
      <c r="O1848" s="1" t="s">
        <v>978</v>
      </c>
      <c r="P1848" s="2">
        <v>43761.1080324074</v>
      </c>
      <c r="Q1848" s="1" t="s">
        <v>373</v>
      </c>
      <c r="R1848" s="1"/>
      <c r="S1848" s="1"/>
      <c r="T1848" s="1">
        <v>1708205.0</v>
      </c>
      <c r="U1848" s="1" t="s">
        <v>4234</v>
      </c>
      <c r="V1848" s="1" t="s">
        <v>2156</v>
      </c>
      <c r="W1848" s="1" t="s">
        <v>127</v>
      </c>
      <c r="X1848" s="1"/>
      <c r="Y1848" s="1"/>
      <c r="Z1848" s="1" t="s">
        <v>980</v>
      </c>
      <c r="AA1848" s="1" t="s">
        <v>7610</v>
      </c>
      <c r="AB1848" s="1" t="str">
        <f t="shared" si="115"/>
        <v>00355888000185</v>
      </c>
      <c r="AC1848" s="1"/>
      <c r="AD1848" s="1" t="s">
        <v>62</v>
      </c>
      <c r="AE1848" s="1"/>
      <c r="AF1848" s="1">
        <v>-49.710835</v>
      </c>
      <c r="AG1848" s="1">
        <v>-11.838888</v>
      </c>
      <c r="AH1848" s="1" t="s">
        <v>7614</v>
      </c>
      <c r="AI1848" s="1"/>
      <c r="AJ1848" s="1" t="s">
        <v>386</v>
      </c>
      <c r="AK1848" s="1"/>
      <c r="AL1848" s="1"/>
      <c r="AM1848" s="1" t="s">
        <v>65</v>
      </c>
      <c r="AN1848" s="1" t="s">
        <v>1551</v>
      </c>
      <c r="AO1848" s="1"/>
      <c r="AP1848" s="2">
        <v>43761.1168171296</v>
      </c>
      <c r="AQ1848" s="1"/>
      <c r="AR1848" s="1" t="s">
        <v>229</v>
      </c>
      <c r="AS1848" s="1"/>
      <c r="AT1848" s="2">
        <v>44269.931099537</v>
      </c>
    </row>
    <row r="1849" ht="13.5" customHeight="1">
      <c r="A1849" s="1"/>
      <c r="B1849" s="1" t="s">
        <v>46</v>
      </c>
      <c r="C1849" s="1" t="s">
        <v>47</v>
      </c>
      <c r="D1849" s="1"/>
      <c r="E1849" s="1" t="s">
        <v>7615</v>
      </c>
      <c r="F1849" s="1"/>
      <c r="G1849" s="1" t="s">
        <v>49</v>
      </c>
      <c r="H1849" s="1" t="s">
        <v>93</v>
      </c>
      <c r="I1849" s="1">
        <v>1500.0</v>
      </c>
      <c r="J1849" s="1"/>
      <c r="K1849" s="1"/>
      <c r="L1849" s="1"/>
      <c r="M1849" s="1" t="s">
        <v>7616</v>
      </c>
      <c r="N1849" s="1" t="s">
        <v>95</v>
      </c>
      <c r="O1849" s="1" t="s">
        <v>96</v>
      </c>
      <c r="P1849" s="2">
        <v>43761.1059490741</v>
      </c>
      <c r="Q1849" s="1" t="s">
        <v>373</v>
      </c>
      <c r="R1849" s="1"/>
      <c r="S1849" s="1"/>
      <c r="T1849" s="1">
        <v>3203320.0</v>
      </c>
      <c r="U1849" s="1" t="s">
        <v>7535</v>
      </c>
      <c r="V1849" s="1" t="s">
        <v>403</v>
      </c>
      <c r="W1849" s="1" t="s">
        <v>59</v>
      </c>
      <c r="X1849" s="1"/>
      <c r="Y1849" s="1"/>
      <c r="Z1849" s="1" t="s">
        <v>98</v>
      </c>
      <c r="AA1849" s="1" t="s">
        <v>7617</v>
      </c>
      <c r="AB1849" s="1" t="str">
        <f t="shared" ref="AB1849:AB1850" si="116">"14842832000160"</f>
        <v>14842832000160</v>
      </c>
      <c r="AC1849" s="1"/>
      <c r="AD1849" s="1" t="s">
        <v>62</v>
      </c>
      <c r="AE1849" s="1"/>
      <c r="AF1849" s="1">
        <v>-40.808334</v>
      </c>
      <c r="AG1849" s="1">
        <v>-21.008333</v>
      </c>
      <c r="AH1849" s="1" t="s">
        <v>7618</v>
      </c>
      <c r="AI1849" s="1"/>
      <c r="AJ1849" s="1" t="s">
        <v>406</v>
      </c>
      <c r="AK1849" s="1"/>
      <c r="AL1849" s="1"/>
      <c r="AM1849" s="1" t="s">
        <v>65</v>
      </c>
      <c r="AN1849" s="1" t="s">
        <v>7538</v>
      </c>
      <c r="AO1849" s="1"/>
      <c r="AP1849" s="2">
        <v>44014.6150578704</v>
      </c>
      <c r="AQ1849" s="1"/>
      <c r="AR1849" s="1" t="s">
        <v>7619</v>
      </c>
      <c r="AS1849" s="1"/>
      <c r="AT1849" s="2">
        <v>44269.931099537</v>
      </c>
    </row>
    <row r="1850" ht="13.5" customHeight="1">
      <c r="A1850" s="1">
        <v>2037928.0</v>
      </c>
      <c r="B1850" s="1" t="s">
        <v>67</v>
      </c>
      <c r="C1850" s="1" t="s">
        <v>68</v>
      </c>
      <c r="D1850" s="1" t="s">
        <v>46</v>
      </c>
      <c r="E1850" s="1" t="s">
        <v>7620</v>
      </c>
      <c r="F1850" s="1"/>
      <c r="G1850" s="1" t="s">
        <v>70</v>
      </c>
      <c r="H1850" s="1" t="s">
        <v>50</v>
      </c>
      <c r="I1850" s="1">
        <v>11000.0</v>
      </c>
      <c r="J1850" s="1"/>
      <c r="K1850" s="1"/>
      <c r="L1850" s="1" t="s">
        <v>406</v>
      </c>
      <c r="M1850" s="1" t="s">
        <v>7621</v>
      </c>
      <c r="N1850" s="1" t="s">
        <v>53</v>
      </c>
      <c r="O1850" s="1" t="s">
        <v>54</v>
      </c>
      <c r="P1850" s="2">
        <v>43761.0</v>
      </c>
      <c r="Q1850" s="1" t="s">
        <v>373</v>
      </c>
      <c r="R1850" s="3">
        <v>43761.0</v>
      </c>
      <c r="S1850" s="1"/>
      <c r="T1850" s="1">
        <v>3203320.0</v>
      </c>
      <c r="U1850" s="1" t="s">
        <v>7535</v>
      </c>
      <c r="V1850" s="1" t="s">
        <v>403</v>
      </c>
      <c r="W1850" s="1" t="s">
        <v>288</v>
      </c>
      <c r="X1850" s="1"/>
      <c r="Y1850" s="1" t="str">
        <f>"02009002804201915"</f>
        <v>02009002804201915</v>
      </c>
      <c r="Z1850" s="1" t="s">
        <v>60</v>
      </c>
      <c r="AA1850" s="1" t="s">
        <v>7622</v>
      </c>
      <c r="AB1850" s="1" t="str">
        <f t="shared" si="116"/>
        <v>14842832000160</v>
      </c>
      <c r="AC1850" s="1"/>
      <c r="AD1850" s="1"/>
      <c r="AE1850" s="1"/>
      <c r="AF1850" s="1">
        <v>-40.808334</v>
      </c>
      <c r="AG1850" s="1">
        <v>-21.008333</v>
      </c>
      <c r="AH1850" s="1" t="s">
        <v>7623</v>
      </c>
      <c r="AI1850" s="1"/>
      <c r="AJ1850" s="1" t="s">
        <v>406</v>
      </c>
      <c r="AK1850" s="1"/>
      <c r="AL1850" s="1" t="s">
        <v>79</v>
      </c>
      <c r="AM1850" s="1" t="s">
        <v>65</v>
      </c>
      <c r="AN1850" s="1" t="s">
        <v>7538</v>
      </c>
      <c r="AO1850" s="2">
        <v>44014.0</v>
      </c>
      <c r="AP1850" s="2">
        <v>44014.4902199074</v>
      </c>
      <c r="AQ1850" s="1" t="s">
        <v>80</v>
      </c>
      <c r="AR1850" s="1" t="s">
        <v>809</v>
      </c>
      <c r="AS1850" s="1"/>
      <c r="AT1850" s="2">
        <v>44269.931099537</v>
      </c>
    </row>
    <row r="1851" ht="13.5" customHeight="1">
      <c r="A1851" s="1"/>
      <c r="B1851" s="1" t="s">
        <v>46</v>
      </c>
      <c r="C1851" s="1" t="s">
        <v>47</v>
      </c>
      <c r="D1851" s="1"/>
      <c r="E1851" s="1" t="s">
        <v>7624</v>
      </c>
      <c r="F1851" s="1"/>
      <c r="G1851" s="1" t="s">
        <v>49</v>
      </c>
      <c r="H1851" s="1" t="s">
        <v>50</v>
      </c>
      <c r="I1851" s="1">
        <v>450.0</v>
      </c>
      <c r="J1851" s="1"/>
      <c r="K1851" s="1" t="s">
        <v>140</v>
      </c>
      <c r="L1851" s="1"/>
      <c r="M1851" s="1" t="s">
        <v>7625</v>
      </c>
      <c r="N1851" s="1" t="s">
        <v>977</v>
      </c>
      <c r="O1851" s="1" t="s">
        <v>978</v>
      </c>
      <c r="P1851" s="2">
        <v>43760.879224537</v>
      </c>
      <c r="Q1851" s="1"/>
      <c r="R1851" s="1"/>
      <c r="S1851" s="1"/>
      <c r="T1851" s="1">
        <v>5107925.0</v>
      </c>
      <c r="U1851" s="1" t="s">
        <v>7385</v>
      </c>
      <c r="V1851" s="1" t="s">
        <v>164</v>
      </c>
      <c r="W1851" s="1" t="s">
        <v>177</v>
      </c>
      <c r="X1851" s="1"/>
      <c r="Y1851" s="1"/>
      <c r="Z1851" s="1" t="s">
        <v>980</v>
      </c>
      <c r="AA1851" s="1" t="s">
        <v>7626</v>
      </c>
      <c r="AB1851" s="1" t="str">
        <f>"08775117000159"</f>
        <v>08775117000159</v>
      </c>
      <c r="AC1851" s="1"/>
      <c r="AD1851" s="1" t="s">
        <v>62</v>
      </c>
      <c r="AE1851" s="1"/>
      <c r="AF1851" s="1">
        <v>-55.81139</v>
      </c>
      <c r="AG1851" s="1">
        <v>-12.698055</v>
      </c>
      <c r="AH1851" s="1" t="s">
        <v>7497</v>
      </c>
      <c r="AI1851" s="1"/>
      <c r="AJ1851" s="1" t="s">
        <v>167</v>
      </c>
      <c r="AK1851" s="1"/>
      <c r="AL1851" s="1"/>
      <c r="AM1851" s="1" t="s">
        <v>65</v>
      </c>
      <c r="AN1851" s="1" t="s">
        <v>6985</v>
      </c>
      <c r="AO1851" s="1"/>
      <c r="AP1851" s="2">
        <v>44027.8929976852</v>
      </c>
      <c r="AQ1851" s="1"/>
      <c r="AR1851" s="1" t="s">
        <v>3544</v>
      </c>
      <c r="AS1851" s="1"/>
      <c r="AT1851" s="2">
        <v>44269.931099537</v>
      </c>
    </row>
    <row r="1852" ht="13.5" customHeight="1">
      <c r="A1852" s="1"/>
      <c r="B1852" s="1" t="s">
        <v>46</v>
      </c>
      <c r="C1852" s="1" t="s">
        <v>47</v>
      </c>
      <c r="D1852" s="1"/>
      <c r="E1852" s="1" t="s">
        <v>7627</v>
      </c>
      <c r="F1852" s="1"/>
      <c r="G1852" s="1" t="s">
        <v>49</v>
      </c>
      <c r="H1852" s="1" t="s">
        <v>50</v>
      </c>
      <c r="I1852" s="1">
        <v>2000.0</v>
      </c>
      <c r="J1852" s="1"/>
      <c r="K1852" s="1" t="s">
        <v>140</v>
      </c>
      <c r="L1852" s="1"/>
      <c r="M1852" s="1" t="s">
        <v>7628</v>
      </c>
      <c r="N1852" s="1" t="s">
        <v>977</v>
      </c>
      <c r="O1852" s="1" t="s">
        <v>978</v>
      </c>
      <c r="P1852" s="2">
        <v>43760.8544444444</v>
      </c>
      <c r="Q1852" s="1" t="s">
        <v>55</v>
      </c>
      <c r="R1852" s="1"/>
      <c r="S1852" s="1"/>
      <c r="T1852" s="1">
        <v>5107925.0</v>
      </c>
      <c r="U1852" s="1" t="s">
        <v>7385</v>
      </c>
      <c r="V1852" s="1" t="s">
        <v>164</v>
      </c>
      <c r="W1852" s="1" t="s">
        <v>177</v>
      </c>
      <c r="X1852" s="1"/>
      <c r="Y1852" s="1"/>
      <c r="Z1852" s="1" t="s">
        <v>980</v>
      </c>
      <c r="AA1852" s="1" t="s">
        <v>7629</v>
      </c>
      <c r="AB1852" s="1" t="str">
        <f t="shared" ref="AB1852:AB1854" si="117">"09087317000181"</f>
        <v>09087317000181</v>
      </c>
      <c r="AC1852" s="1"/>
      <c r="AD1852" s="1"/>
      <c r="AE1852" s="1"/>
      <c r="AF1852" s="1"/>
      <c r="AG1852" s="1"/>
      <c r="AH1852" s="1" t="s">
        <v>7497</v>
      </c>
      <c r="AI1852" s="1"/>
      <c r="AJ1852" s="1" t="s">
        <v>167</v>
      </c>
      <c r="AK1852" s="1"/>
      <c r="AL1852" s="1"/>
      <c r="AM1852" s="1" t="s">
        <v>65</v>
      </c>
      <c r="AN1852" s="1" t="s">
        <v>6985</v>
      </c>
      <c r="AO1852" s="1"/>
      <c r="AP1852" s="2">
        <v>44027.8930902778</v>
      </c>
      <c r="AQ1852" s="1"/>
      <c r="AR1852" s="1" t="s">
        <v>7388</v>
      </c>
      <c r="AS1852" s="1"/>
      <c r="AT1852" s="2">
        <v>44269.931099537</v>
      </c>
    </row>
    <row r="1853" ht="13.5" customHeight="1">
      <c r="A1853" s="1"/>
      <c r="B1853" s="1" t="s">
        <v>46</v>
      </c>
      <c r="C1853" s="1" t="s">
        <v>47</v>
      </c>
      <c r="D1853" s="1"/>
      <c r="E1853" s="1" t="s">
        <v>7630</v>
      </c>
      <c r="F1853" s="1"/>
      <c r="G1853" s="1" t="s">
        <v>49</v>
      </c>
      <c r="H1853" s="1" t="s">
        <v>50</v>
      </c>
      <c r="I1853" s="1">
        <v>2000.0</v>
      </c>
      <c r="J1853" s="1"/>
      <c r="K1853" s="1" t="s">
        <v>140</v>
      </c>
      <c r="L1853" s="1"/>
      <c r="M1853" s="1" t="s">
        <v>7631</v>
      </c>
      <c r="N1853" s="1" t="s">
        <v>977</v>
      </c>
      <c r="O1853" s="1" t="s">
        <v>978</v>
      </c>
      <c r="P1853" s="2">
        <v>43760.8429976852</v>
      </c>
      <c r="Q1853" s="1"/>
      <c r="R1853" s="1"/>
      <c r="S1853" s="1"/>
      <c r="T1853" s="1">
        <v>5107925.0</v>
      </c>
      <c r="U1853" s="1" t="s">
        <v>7385</v>
      </c>
      <c r="V1853" s="1" t="s">
        <v>164</v>
      </c>
      <c r="W1853" s="1" t="s">
        <v>177</v>
      </c>
      <c r="X1853" s="1"/>
      <c r="Y1853" s="1"/>
      <c r="Z1853" s="1" t="s">
        <v>980</v>
      </c>
      <c r="AA1853" s="1" t="s">
        <v>7629</v>
      </c>
      <c r="AB1853" s="1" t="str">
        <f t="shared" si="117"/>
        <v>09087317000181</v>
      </c>
      <c r="AC1853" s="1"/>
      <c r="AD1853" s="1"/>
      <c r="AE1853" s="1"/>
      <c r="AF1853" s="1">
        <v>-55.81139</v>
      </c>
      <c r="AG1853" s="1">
        <v>-12.698055</v>
      </c>
      <c r="AH1853" s="1" t="s">
        <v>7497</v>
      </c>
      <c r="AI1853" s="1"/>
      <c r="AJ1853" s="1" t="s">
        <v>167</v>
      </c>
      <c r="AK1853" s="1"/>
      <c r="AL1853" s="1"/>
      <c r="AM1853" s="1" t="s">
        <v>65</v>
      </c>
      <c r="AN1853" s="1" t="s">
        <v>6985</v>
      </c>
      <c r="AO1853" s="1"/>
      <c r="AP1853" s="2">
        <v>44027.8931828704</v>
      </c>
      <c r="AQ1853" s="1"/>
      <c r="AR1853" s="1" t="s">
        <v>6029</v>
      </c>
      <c r="AS1853" s="1"/>
      <c r="AT1853" s="2">
        <v>44269.931099537</v>
      </c>
    </row>
    <row r="1854" ht="13.5" customHeight="1">
      <c r="A1854" s="1"/>
      <c r="B1854" s="1" t="s">
        <v>46</v>
      </c>
      <c r="C1854" s="1" t="s">
        <v>47</v>
      </c>
      <c r="D1854" s="1"/>
      <c r="E1854" s="1" t="s">
        <v>7632</v>
      </c>
      <c r="F1854" s="1"/>
      <c r="G1854" s="1" t="s">
        <v>49</v>
      </c>
      <c r="H1854" s="1" t="s">
        <v>50</v>
      </c>
      <c r="I1854" s="1">
        <v>2000.0</v>
      </c>
      <c r="J1854" s="1"/>
      <c r="K1854" s="1" t="s">
        <v>140</v>
      </c>
      <c r="L1854" s="1"/>
      <c r="M1854" s="1" t="s">
        <v>7633</v>
      </c>
      <c r="N1854" s="1" t="s">
        <v>977</v>
      </c>
      <c r="O1854" s="1" t="s">
        <v>978</v>
      </c>
      <c r="P1854" s="2">
        <v>43760.8174537037</v>
      </c>
      <c r="Q1854" s="1" t="s">
        <v>55</v>
      </c>
      <c r="R1854" s="1"/>
      <c r="S1854" s="1"/>
      <c r="T1854" s="1">
        <v>5107925.0</v>
      </c>
      <c r="U1854" s="1" t="s">
        <v>7385</v>
      </c>
      <c r="V1854" s="1" t="s">
        <v>164</v>
      </c>
      <c r="W1854" s="1" t="s">
        <v>177</v>
      </c>
      <c r="X1854" s="1"/>
      <c r="Y1854" s="1"/>
      <c r="Z1854" s="1" t="s">
        <v>980</v>
      </c>
      <c r="AA1854" s="1"/>
      <c r="AB1854" s="1" t="str">
        <f t="shared" si="117"/>
        <v>09087317000181</v>
      </c>
      <c r="AC1854" s="1"/>
      <c r="AD1854" s="1"/>
      <c r="AE1854" s="1"/>
      <c r="AF1854" s="1">
        <v>-55.81139</v>
      </c>
      <c r="AG1854" s="1">
        <v>-12.698055</v>
      </c>
      <c r="AH1854" s="1" t="s">
        <v>7497</v>
      </c>
      <c r="AI1854" s="1"/>
      <c r="AJ1854" s="1" t="s">
        <v>167</v>
      </c>
      <c r="AK1854" s="1"/>
      <c r="AL1854" s="1"/>
      <c r="AM1854" s="1" t="s">
        <v>65</v>
      </c>
      <c r="AN1854" s="1" t="s">
        <v>6985</v>
      </c>
      <c r="AO1854" s="1"/>
      <c r="AP1854" s="2">
        <v>44027.8932638889</v>
      </c>
      <c r="AQ1854" s="1"/>
      <c r="AR1854" s="1" t="s">
        <v>6029</v>
      </c>
      <c r="AS1854" s="1"/>
      <c r="AT1854" s="2">
        <v>44269.931099537</v>
      </c>
    </row>
    <row r="1855" ht="13.5" customHeight="1">
      <c r="A1855" s="1">
        <v>2035573.0</v>
      </c>
      <c r="B1855" s="1" t="s">
        <v>67</v>
      </c>
      <c r="C1855" s="1" t="s">
        <v>68</v>
      </c>
      <c r="D1855" s="1" t="s">
        <v>46</v>
      </c>
      <c r="E1855" s="1" t="s">
        <v>7634</v>
      </c>
      <c r="F1855" s="1"/>
      <c r="G1855" s="1" t="s">
        <v>70</v>
      </c>
      <c r="H1855" s="1" t="s">
        <v>93</v>
      </c>
      <c r="I1855" s="1">
        <v>84000.0</v>
      </c>
      <c r="J1855" s="1"/>
      <c r="K1855" s="1"/>
      <c r="L1855" s="1" t="s">
        <v>358</v>
      </c>
      <c r="M1855" s="1" t="s">
        <v>7635</v>
      </c>
      <c r="N1855" s="1" t="s">
        <v>142</v>
      </c>
      <c r="O1855" s="1" t="s">
        <v>143</v>
      </c>
      <c r="P1855" s="2">
        <v>43760.7916666667</v>
      </c>
      <c r="Q1855" s="1" t="s">
        <v>373</v>
      </c>
      <c r="R1855" s="3">
        <v>43760.0</v>
      </c>
      <c r="S1855" s="1"/>
      <c r="T1855" s="1">
        <v>4121752.0</v>
      </c>
      <c r="U1855" s="1" t="s">
        <v>7365</v>
      </c>
      <c r="V1855" s="1" t="s">
        <v>176</v>
      </c>
      <c r="W1855" s="1" t="s">
        <v>59</v>
      </c>
      <c r="X1855" s="1"/>
      <c r="Y1855" s="1"/>
      <c r="Z1855" s="1" t="s">
        <v>147</v>
      </c>
      <c r="AA1855" s="1" t="s">
        <v>7636</v>
      </c>
      <c r="AB1855" s="1" t="str">
        <f>"***355239**"</f>
        <v>***355239**</v>
      </c>
      <c r="AC1855" s="1"/>
      <c r="AD1855" s="1"/>
      <c r="AE1855" s="1"/>
      <c r="AF1855" s="1">
        <v>-51.932224</v>
      </c>
      <c r="AG1855" s="1">
        <v>-25.967501</v>
      </c>
      <c r="AH1855" s="1" t="s">
        <v>7637</v>
      </c>
      <c r="AI1855" s="1"/>
      <c r="AJ1855" s="1" t="s">
        <v>358</v>
      </c>
      <c r="AK1855" s="1"/>
      <c r="AL1855" s="1" t="s">
        <v>79</v>
      </c>
      <c r="AM1855" s="1" t="s">
        <v>65</v>
      </c>
      <c r="AN1855" s="1" t="s">
        <v>1696</v>
      </c>
      <c r="AO1855" s="2">
        <v>43909.0</v>
      </c>
      <c r="AP1855" s="2">
        <v>43909.4579166667</v>
      </c>
      <c r="AQ1855" s="1" t="s">
        <v>80</v>
      </c>
      <c r="AR1855" s="1" t="s">
        <v>7638</v>
      </c>
      <c r="AS1855" s="1"/>
      <c r="AT1855" s="2">
        <v>44269.931099537</v>
      </c>
    </row>
    <row r="1856" ht="13.5" customHeight="1">
      <c r="A1856" s="1"/>
      <c r="B1856" s="1" t="s">
        <v>46</v>
      </c>
      <c r="C1856" s="1" t="s">
        <v>47</v>
      </c>
      <c r="D1856" s="1"/>
      <c r="E1856" s="1" t="s">
        <v>7639</v>
      </c>
      <c r="F1856" s="1"/>
      <c r="G1856" s="1" t="s">
        <v>49</v>
      </c>
      <c r="H1856" s="1" t="s">
        <v>50</v>
      </c>
      <c r="I1856" s="1">
        <v>4100.0</v>
      </c>
      <c r="J1856" s="1"/>
      <c r="K1856" s="1" t="s">
        <v>51</v>
      </c>
      <c r="L1856" s="1"/>
      <c r="M1856" s="1" t="s">
        <v>7640</v>
      </c>
      <c r="N1856" s="1" t="s">
        <v>977</v>
      </c>
      <c r="O1856" s="1" t="s">
        <v>978</v>
      </c>
      <c r="P1856" s="2">
        <v>43760.7604050926</v>
      </c>
      <c r="Q1856" s="1"/>
      <c r="R1856" s="1"/>
      <c r="S1856" s="1"/>
      <c r="T1856" s="1">
        <v>5107925.0</v>
      </c>
      <c r="U1856" s="1" t="s">
        <v>7385</v>
      </c>
      <c r="V1856" s="1" t="s">
        <v>164</v>
      </c>
      <c r="W1856" s="1" t="s">
        <v>177</v>
      </c>
      <c r="X1856" s="1"/>
      <c r="Y1856" s="1"/>
      <c r="Z1856" s="1" t="s">
        <v>980</v>
      </c>
      <c r="AA1856" s="1" t="s">
        <v>7641</v>
      </c>
      <c r="AB1856" s="1" t="str">
        <f>"07059135000171"</f>
        <v>07059135000171</v>
      </c>
      <c r="AC1856" s="1"/>
      <c r="AD1856" s="1" t="s">
        <v>62</v>
      </c>
      <c r="AE1856" s="1"/>
      <c r="AF1856" s="1">
        <v>-55.81139</v>
      </c>
      <c r="AG1856" s="1">
        <v>-15.698055</v>
      </c>
      <c r="AH1856" s="1" t="s">
        <v>7497</v>
      </c>
      <c r="AI1856" s="1"/>
      <c r="AJ1856" s="1" t="s">
        <v>167</v>
      </c>
      <c r="AK1856" s="1"/>
      <c r="AL1856" s="1"/>
      <c r="AM1856" s="1" t="s">
        <v>65</v>
      </c>
      <c r="AN1856" s="1" t="s">
        <v>6985</v>
      </c>
      <c r="AO1856" s="1"/>
      <c r="AP1856" s="2">
        <v>44027.8933680556</v>
      </c>
      <c r="AQ1856" s="1"/>
      <c r="AR1856" s="1" t="s">
        <v>6029</v>
      </c>
      <c r="AS1856" s="1"/>
      <c r="AT1856" s="2">
        <v>44269.931099537</v>
      </c>
    </row>
    <row r="1857" ht="13.5" customHeight="1">
      <c r="A1857" s="1">
        <v>2038341.0</v>
      </c>
      <c r="B1857" s="1" t="s">
        <v>67</v>
      </c>
      <c r="C1857" s="1" t="s">
        <v>68</v>
      </c>
      <c r="D1857" s="1" t="s">
        <v>46</v>
      </c>
      <c r="E1857" s="1" t="s">
        <v>7642</v>
      </c>
      <c r="F1857" s="1"/>
      <c r="G1857" s="1" t="s">
        <v>70</v>
      </c>
      <c r="H1857" s="1" t="s">
        <v>93</v>
      </c>
      <c r="I1857" s="1">
        <v>3000.0</v>
      </c>
      <c r="J1857" s="1"/>
      <c r="K1857" s="1"/>
      <c r="L1857" s="1" t="s">
        <v>172</v>
      </c>
      <c r="M1857" s="1" t="s">
        <v>7643</v>
      </c>
      <c r="N1857" s="1" t="s">
        <v>142</v>
      </c>
      <c r="O1857" s="1" t="s">
        <v>143</v>
      </c>
      <c r="P1857" s="2">
        <v>43760.75</v>
      </c>
      <c r="Q1857" s="1" t="s">
        <v>373</v>
      </c>
      <c r="R1857" s="3">
        <v>43760.0</v>
      </c>
      <c r="S1857" s="1"/>
      <c r="T1857" s="1">
        <v>1302405.0</v>
      </c>
      <c r="U1857" s="1" t="s">
        <v>2258</v>
      </c>
      <c r="V1857" s="1" t="s">
        <v>486</v>
      </c>
      <c r="W1857" s="1" t="s">
        <v>177</v>
      </c>
      <c r="X1857" s="1"/>
      <c r="Y1857" s="1" t="str">
        <f>"02001016467202049"</f>
        <v>02001016467202049</v>
      </c>
      <c r="Z1857" s="1" t="s">
        <v>147</v>
      </c>
      <c r="AA1857" s="1" t="s">
        <v>7644</v>
      </c>
      <c r="AB1857" s="1" t="str">
        <f>"***718321**"</f>
        <v>***718321**</v>
      </c>
      <c r="AC1857" s="1"/>
      <c r="AD1857" s="1"/>
      <c r="AE1857" s="1"/>
      <c r="AF1857" s="1">
        <v>-65.371117</v>
      </c>
      <c r="AG1857" s="1">
        <v>-9.080277</v>
      </c>
      <c r="AH1857" s="1" t="s">
        <v>7645</v>
      </c>
      <c r="AI1857" s="1"/>
      <c r="AJ1857" s="1" t="s">
        <v>172</v>
      </c>
      <c r="AK1857" s="1"/>
      <c r="AL1857" s="1" t="s">
        <v>79</v>
      </c>
      <c r="AM1857" s="1" t="s">
        <v>65</v>
      </c>
      <c r="AN1857" s="1" t="s">
        <v>6258</v>
      </c>
      <c r="AO1857" s="2">
        <v>44032.0</v>
      </c>
      <c r="AP1857" s="2">
        <v>44032.4188657407</v>
      </c>
      <c r="AQ1857" s="1" t="s">
        <v>80</v>
      </c>
      <c r="AR1857" s="1" t="s">
        <v>4297</v>
      </c>
      <c r="AS1857" s="1"/>
      <c r="AT1857" s="2">
        <v>44269.931099537</v>
      </c>
    </row>
    <row r="1858" ht="13.5" customHeight="1">
      <c r="A1858" s="1">
        <v>2035572.0</v>
      </c>
      <c r="B1858" s="1" t="s">
        <v>67</v>
      </c>
      <c r="C1858" s="1" t="s">
        <v>68</v>
      </c>
      <c r="D1858" s="1" t="s">
        <v>46</v>
      </c>
      <c r="E1858" s="1" t="s">
        <v>7646</v>
      </c>
      <c r="F1858" s="1"/>
      <c r="G1858" s="1" t="s">
        <v>70</v>
      </c>
      <c r="H1858" s="1" t="s">
        <v>93</v>
      </c>
      <c r="I1858" s="1">
        <v>224000.0</v>
      </c>
      <c r="J1858" s="1"/>
      <c r="K1858" s="1"/>
      <c r="L1858" s="1" t="s">
        <v>358</v>
      </c>
      <c r="M1858" s="1" t="s">
        <v>7647</v>
      </c>
      <c r="N1858" s="1" t="s">
        <v>142</v>
      </c>
      <c r="O1858" s="1" t="s">
        <v>143</v>
      </c>
      <c r="P1858" s="2">
        <v>43760.6666666667</v>
      </c>
      <c r="Q1858" s="1" t="s">
        <v>373</v>
      </c>
      <c r="R1858" s="3">
        <v>43760.0</v>
      </c>
      <c r="S1858" s="1"/>
      <c r="T1858" s="1">
        <v>4119301.0</v>
      </c>
      <c r="U1858" s="1" t="s">
        <v>5798</v>
      </c>
      <c r="V1858" s="1" t="s">
        <v>176</v>
      </c>
      <c r="W1858" s="1" t="s">
        <v>59</v>
      </c>
      <c r="X1858" s="1"/>
      <c r="Y1858" s="1"/>
      <c r="Z1858" s="1" t="s">
        <v>147</v>
      </c>
      <c r="AA1858" s="1" t="s">
        <v>7648</v>
      </c>
      <c r="AB1858" s="1" t="str">
        <f>"***776470**"</f>
        <v>***776470**</v>
      </c>
      <c r="AC1858" s="1"/>
      <c r="AD1858" s="1"/>
      <c r="AE1858" s="1"/>
      <c r="AF1858" s="1">
        <v>-51.553333</v>
      </c>
      <c r="AG1858" s="1">
        <v>-25.819168</v>
      </c>
      <c r="AH1858" s="1" t="s">
        <v>7649</v>
      </c>
      <c r="AI1858" s="1"/>
      <c r="AJ1858" s="1" t="s">
        <v>358</v>
      </c>
      <c r="AK1858" s="1"/>
      <c r="AL1858" s="1" t="s">
        <v>79</v>
      </c>
      <c r="AM1858" s="1" t="s">
        <v>65</v>
      </c>
      <c r="AN1858" s="1" t="s">
        <v>1696</v>
      </c>
      <c r="AO1858" s="2">
        <v>43909.0</v>
      </c>
      <c r="AP1858" s="2">
        <v>43909.4576736111</v>
      </c>
      <c r="AQ1858" s="1" t="s">
        <v>80</v>
      </c>
      <c r="AR1858" s="1" t="s">
        <v>7650</v>
      </c>
      <c r="AS1858" s="1"/>
      <c r="AT1858" s="2">
        <v>44269.931099537</v>
      </c>
    </row>
    <row r="1859" ht="13.5" customHeight="1">
      <c r="A1859" s="1">
        <v>2044139.0</v>
      </c>
      <c r="B1859" s="1" t="s">
        <v>67</v>
      </c>
      <c r="C1859" s="1" t="s">
        <v>68</v>
      </c>
      <c r="D1859" s="1" t="s">
        <v>46</v>
      </c>
      <c r="E1859" s="1" t="s">
        <v>7651</v>
      </c>
      <c r="F1859" s="1"/>
      <c r="G1859" s="1" t="s">
        <v>70</v>
      </c>
      <c r="H1859" s="1" t="s">
        <v>93</v>
      </c>
      <c r="I1859" s="1">
        <v>1080000.0</v>
      </c>
      <c r="J1859" s="1"/>
      <c r="K1859" s="1"/>
      <c r="L1859" s="1" t="s">
        <v>172</v>
      </c>
      <c r="M1859" s="1" t="s">
        <v>7652</v>
      </c>
      <c r="N1859" s="1" t="s">
        <v>142</v>
      </c>
      <c r="O1859" s="1" t="s">
        <v>143</v>
      </c>
      <c r="P1859" s="2">
        <v>43760.6666666667</v>
      </c>
      <c r="Q1859" s="1" t="s">
        <v>74</v>
      </c>
      <c r="R1859" s="3">
        <v>43760.0</v>
      </c>
      <c r="S1859" s="1"/>
      <c r="T1859" s="1">
        <v>5105101.0</v>
      </c>
      <c r="U1859" s="1" t="s">
        <v>6647</v>
      </c>
      <c r="V1859" s="1" t="s">
        <v>164</v>
      </c>
      <c r="W1859" s="1" t="s">
        <v>177</v>
      </c>
      <c r="X1859" s="1"/>
      <c r="Y1859" s="1"/>
      <c r="Z1859" s="1" t="s">
        <v>147</v>
      </c>
      <c r="AA1859" s="1" t="s">
        <v>7653</v>
      </c>
      <c r="AB1859" s="1" t="str">
        <f>"***568548**"</f>
        <v>***568548**</v>
      </c>
      <c r="AC1859" s="1"/>
      <c r="AD1859" s="1"/>
      <c r="AE1859" s="1"/>
      <c r="AF1859" s="1">
        <v>-57.704723</v>
      </c>
      <c r="AG1859" s="1">
        <v>-10.755555</v>
      </c>
      <c r="AH1859" s="1" t="s">
        <v>7654</v>
      </c>
      <c r="AI1859" s="1"/>
      <c r="AJ1859" s="1" t="s">
        <v>172</v>
      </c>
      <c r="AK1859" s="1"/>
      <c r="AL1859" s="1" t="s">
        <v>79</v>
      </c>
      <c r="AM1859" s="1" t="s">
        <v>65</v>
      </c>
      <c r="AN1859" s="1" t="s">
        <v>7489</v>
      </c>
      <c r="AO1859" s="2">
        <v>44263.0</v>
      </c>
      <c r="AP1859" s="2">
        <v>44263.7768055556</v>
      </c>
      <c r="AQ1859" s="1" t="s">
        <v>80</v>
      </c>
      <c r="AR1859" s="1" t="s">
        <v>650</v>
      </c>
      <c r="AS1859" s="1"/>
      <c r="AT1859" s="2">
        <v>44269.931099537</v>
      </c>
    </row>
    <row r="1860" ht="13.5" customHeight="1">
      <c r="A1860" s="1"/>
      <c r="B1860" s="1" t="s">
        <v>46</v>
      </c>
      <c r="C1860" s="1" t="s">
        <v>47</v>
      </c>
      <c r="D1860" s="1"/>
      <c r="E1860" s="1" t="s">
        <v>7655</v>
      </c>
      <c r="F1860" s="1"/>
      <c r="G1860" s="1" t="s">
        <v>49</v>
      </c>
      <c r="H1860" s="1" t="s">
        <v>93</v>
      </c>
      <c r="I1860" s="1">
        <v>16500.0</v>
      </c>
      <c r="J1860" s="1"/>
      <c r="K1860" s="1"/>
      <c r="L1860" s="1"/>
      <c r="M1860" s="1" t="s">
        <v>7656</v>
      </c>
      <c r="N1860" s="1" t="s">
        <v>142</v>
      </c>
      <c r="O1860" s="1" t="s">
        <v>143</v>
      </c>
      <c r="P1860" s="2">
        <v>43760.6526157407</v>
      </c>
      <c r="Q1860" s="1" t="s">
        <v>373</v>
      </c>
      <c r="R1860" s="1"/>
      <c r="S1860" s="1" t="s">
        <v>7657</v>
      </c>
      <c r="T1860" s="1">
        <v>2208007.0</v>
      </c>
      <c r="U1860" s="1" t="s">
        <v>894</v>
      </c>
      <c r="V1860" s="1" t="s">
        <v>895</v>
      </c>
      <c r="W1860" s="1" t="s">
        <v>113</v>
      </c>
      <c r="X1860" s="1"/>
      <c r="Y1860" s="1"/>
      <c r="Z1860" s="1" t="s">
        <v>147</v>
      </c>
      <c r="AA1860" s="1" t="s">
        <v>7658</v>
      </c>
      <c r="AB1860" s="1" t="str">
        <f>"***527504**"</f>
        <v>***527504**</v>
      </c>
      <c r="AC1860" s="1"/>
      <c r="AD1860" s="1" t="s">
        <v>149</v>
      </c>
      <c r="AE1860" s="1"/>
      <c r="AF1860" s="1">
        <v>-41.411111</v>
      </c>
      <c r="AG1860" s="1">
        <v>-7.078889</v>
      </c>
      <c r="AH1860" s="1" t="s">
        <v>7659</v>
      </c>
      <c r="AI1860" s="1"/>
      <c r="AJ1860" s="1" t="s">
        <v>898</v>
      </c>
      <c r="AK1860" s="1"/>
      <c r="AL1860" s="1"/>
      <c r="AM1860" s="1" t="s">
        <v>65</v>
      </c>
      <c r="AN1860" s="1" t="s">
        <v>152</v>
      </c>
      <c r="AO1860" s="1"/>
      <c r="AP1860" s="2">
        <v>44217.5983564815</v>
      </c>
      <c r="AQ1860" s="1"/>
      <c r="AR1860" s="1" t="s">
        <v>280</v>
      </c>
      <c r="AS1860" s="1"/>
      <c r="AT1860" s="2">
        <v>44269.931099537</v>
      </c>
    </row>
    <row r="1861" ht="13.5" customHeight="1">
      <c r="A1861" s="1"/>
      <c r="B1861" s="1" t="s">
        <v>46</v>
      </c>
      <c r="C1861" s="1" t="s">
        <v>47</v>
      </c>
      <c r="D1861" s="1"/>
      <c r="E1861" s="1" t="s">
        <v>7660</v>
      </c>
      <c r="F1861" s="1"/>
      <c r="G1861" s="1" t="s">
        <v>49</v>
      </c>
      <c r="H1861" s="1" t="s">
        <v>50</v>
      </c>
      <c r="I1861" s="1">
        <v>4100.0</v>
      </c>
      <c r="J1861" s="1"/>
      <c r="K1861" s="1" t="s">
        <v>51</v>
      </c>
      <c r="L1861" s="1"/>
      <c r="M1861" s="1" t="s">
        <v>7661</v>
      </c>
      <c r="N1861" s="1" t="s">
        <v>977</v>
      </c>
      <c r="O1861" s="1" t="s">
        <v>978</v>
      </c>
      <c r="P1861" s="2">
        <v>43760.6459953704</v>
      </c>
      <c r="Q1861" s="1" t="s">
        <v>55</v>
      </c>
      <c r="R1861" s="1"/>
      <c r="S1861" s="1"/>
      <c r="T1861" s="1">
        <v>5107925.0</v>
      </c>
      <c r="U1861" s="1" t="s">
        <v>7385</v>
      </c>
      <c r="V1861" s="1" t="s">
        <v>164</v>
      </c>
      <c r="W1861" s="1" t="s">
        <v>177</v>
      </c>
      <c r="X1861" s="1"/>
      <c r="Y1861" s="1"/>
      <c r="Z1861" s="1" t="s">
        <v>980</v>
      </c>
      <c r="AA1861" s="1" t="s">
        <v>7641</v>
      </c>
      <c r="AB1861" s="1" t="str">
        <f>"07059135000171"</f>
        <v>07059135000171</v>
      </c>
      <c r="AC1861" s="1"/>
      <c r="AD1861" s="1"/>
      <c r="AE1861" s="1"/>
      <c r="AF1861" s="1">
        <v>-55.81139</v>
      </c>
      <c r="AG1861" s="1">
        <v>-15.698055</v>
      </c>
      <c r="AH1861" s="1" t="s">
        <v>7662</v>
      </c>
      <c r="AI1861" s="1"/>
      <c r="AJ1861" s="1" t="s">
        <v>167</v>
      </c>
      <c r="AK1861" s="1"/>
      <c r="AL1861" s="1"/>
      <c r="AM1861" s="1" t="s">
        <v>65</v>
      </c>
      <c r="AN1861" s="1" t="s">
        <v>6985</v>
      </c>
      <c r="AO1861" s="1"/>
      <c r="AP1861" s="2">
        <v>44027.8934722222</v>
      </c>
      <c r="AQ1861" s="1"/>
      <c r="AR1861" s="1" t="s">
        <v>229</v>
      </c>
      <c r="AS1861" s="1"/>
      <c r="AT1861" s="2">
        <v>44269.931099537</v>
      </c>
    </row>
    <row r="1862" ht="13.5" customHeight="1">
      <c r="A1862" s="1"/>
      <c r="B1862" s="1" t="s">
        <v>46</v>
      </c>
      <c r="C1862" s="1" t="s">
        <v>47</v>
      </c>
      <c r="D1862" s="1"/>
      <c r="E1862" s="1" t="s">
        <v>7663</v>
      </c>
      <c r="F1862" s="1"/>
      <c r="G1862" s="1" t="s">
        <v>49</v>
      </c>
      <c r="H1862" s="1" t="s">
        <v>93</v>
      </c>
      <c r="I1862" s="1">
        <v>5000.0</v>
      </c>
      <c r="J1862" s="1"/>
      <c r="K1862" s="1"/>
      <c r="L1862" s="1"/>
      <c r="M1862" s="1" t="s">
        <v>7664</v>
      </c>
      <c r="N1862" s="1" t="s">
        <v>142</v>
      </c>
      <c r="O1862" s="1" t="s">
        <v>143</v>
      </c>
      <c r="P1862" s="2">
        <v>43760.6369791667</v>
      </c>
      <c r="Q1862" s="1" t="s">
        <v>373</v>
      </c>
      <c r="R1862" s="1"/>
      <c r="S1862" s="1"/>
      <c r="T1862" s="1">
        <v>1200344.0</v>
      </c>
      <c r="U1862" s="1" t="s">
        <v>5820</v>
      </c>
      <c r="V1862" s="1" t="s">
        <v>498</v>
      </c>
      <c r="W1862" s="1" t="s">
        <v>177</v>
      </c>
      <c r="X1862" s="1"/>
      <c r="Y1862" s="1"/>
      <c r="Z1862" s="1" t="s">
        <v>147</v>
      </c>
      <c r="AA1862" s="1" t="s">
        <v>7665</v>
      </c>
      <c r="AB1862" s="1" t="str">
        <f>"***202252**"</f>
        <v>***202252**</v>
      </c>
      <c r="AC1862" s="1">
        <v>5.0</v>
      </c>
      <c r="AD1862" s="1" t="s">
        <v>116</v>
      </c>
      <c r="AE1862" s="1"/>
      <c r="AF1862" s="1">
        <v>-69.611946</v>
      </c>
      <c r="AG1862" s="1">
        <v>-8.695833</v>
      </c>
      <c r="AH1862" s="1" t="s">
        <v>7666</v>
      </c>
      <c r="AI1862" s="1"/>
      <c r="AJ1862" s="1" t="s">
        <v>3322</v>
      </c>
      <c r="AK1862" s="1"/>
      <c r="AL1862" s="1"/>
      <c r="AM1862" s="1" t="s">
        <v>65</v>
      </c>
      <c r="AN1862" s="1" t="s">
        <v>3305</v>
      </c>
      <c r="AO1862" s="1"/>
      <c r="AP1862" s="2">
        <v>43957.4542476852</v>
      </c>
      <c r="AQ1862" s="1"/>
      <c r="AR1862" s="1" t="s">
        <v>2055</v>
      </c>
      <c r="AS1862" s="1"/>
      <c r="AT1862" s="2">
        <v>44269.931099537</v>
      </c>
    </row>
    <row r="1863" ht="13.5" customHeight="1">
      <c r="A1863" s="1">
        <v>2038990.0</v>
      </c>
      <c r="B1863" s="1" t="s">
        <v>67</v>
      </c>
      <c r="C1863" s="1" t="s">
        <v>89</v>
      </c>
      <c r="D1863" s="1" t="s">
        <v>67</v>
      </c>
      <c r="E1863" s="1" t="s">
        <v>7667</v>
      </c>
      <c r="F1863" s="1"/>
      <c r="G1863" s="1" t="s">
        <v>70</v>
      </c>
      <c r="H1863" s="1" t="s">
        <v>93</v>
      </c>
      <c r="I1863" s="1">
        <v>16500.0</v>
      </c>
      <c r="J1863" s="1"/>
      <c r="K1863" s="1"/>
      <c r="L1863" s="1" t="s">
        <v>898</v>
      </c>
      <c r="M1863" s="1" t="s">
        <v>7668</v>
      </c>
      <c r="N1863" s="1" t="s">
        <v>142</v>
      </c>
      <c r="O1863" s="1" t="s">
        <v>143</v>
      </c>
      <c r="P1863" s="2">
        <v>43760.625</v>
      </c>
      <c r="Q1863" s="1" t="s">
        <v>373</v>
      </c>
      <c r="R1863" s="3">
        <v>43760.0</v>
      </c>
      <c r="S1863" s="1"/>
      <c r="T1863" s="1">
        <v>2208007.0</v>
      </c>
      <c r="U1863" s="1" t="s">
        <v>894</v>
      </c>
      <c r="V1863" s="1" t="s">
        <v>895</v>
      </c>
      <c r="W1863" s="1" t="s">
        <v>113</v>
      </c>
      <c r="X1863" s="1"/>
      <c r="Y1863" s="1" t="str">
        <f>"02020001217202086"</f>
        <v>02020001217202086</v>
      </c>
      <c r="Z1863" s="1" t="s">
        <v>147</v>
      </c>
      <c r="AA1863" s="1" t="s">
        <v>7658</v>
      </c>
      <c r="AB1863" s="1" t="str">
        <f>"***527504**"</f>
        <v>***527504**</v>
      </c>
      <c r="AC1863" s="1"/>
      <c r="AD1863" s="1"/>
      <c r="AE1863" s="1"/>
      <c r="AF1863" s="1">
        <v>-41.411114</v>
      </c>
      <c r="AG1863" s="1">
        <v>-7.078889</v>
      </c>
      <c r="AH1863" s="1" t="s">
        <v>7669</v>
      </c>
      <c r="AI1863" s="1"/>
      <c r="AJ1863" s="1" t="s">
        <v>898</v>
      </c>
      <c r="AK1863" s="1"/>
      <c r="AL1863" s="1" t="s">
        <v>79</v>
      </c>
      <c r="AM1863" s="1" t="s">
        <v>65</v>
      </c>
      <c r="AN1863" s="1" t="s">
        <v>152</v>
      </c>
      <c r="AO1863" s="2">
        <v>44050.0</v>
      </c>
      <c r="AP1863" s="2">
        <v>44054.4051851852</v>
      </c>
      <c r="AQ1863" s="1" t="s">
        <v>89</v>
      </c>
      <c r="AR1863" s="1" t="s">
        <v>577</v>
      </c>
      <c r="AS1863" s="1"/>
      <c r="AT1863" s="2">
        <v>44269.931099537</v>
      </c>
    </row>
    <row r="1864" ht="13.5" customHeight="1">
      <c r="A1864" s="1"/>
      <c r="B1864" s="1" t="s">
        <v>46</v>
      </c>
      <c r="C1864" s="1" t="s">
        <v>47</v>
      </c>
      <c r="D1864" s="1"/>
      <c r="E1864" s="1" t="s">
        <v>7670</v>
      </c>
      <c r="F1864" s="1"/>
      <c r="G1864" s="1"/>
      <c r="H1864" s="1" t="s">
        <v>93</v>
      </c>
      <c r="I1864" s="1">
        <v>2300.0</v>
      </c>
      <c r="J1864" s="1"/>
      <c r="K1864" s="1" t="s">
        <v>140</v>
      </c>
      <c r="L1864" s="1"/>
      <c r="M1864" s="1" t="s">
        <v>7671</v>
      </c>
      <c r="N1864" s="1" t="s">
        <v>53</v>
      </c>
      <c r="O1864" s="1" t="s">
        <v>54</v>
      </c>
      <c r="P1864" s="2">
        <v>43760.6187037037</v>
      </c>
      <c r="Q1864" s="1" t="s">
        <v>373</v>
      </c>
      <c r="R1864" s="1"/>
      <c r="S1864" s="1"/>
      <c r="T1864" s="1">
        <v>3202405.0</v>
      </c>
      <c r="U1864" s="1" t="s">
        <v>7672</v>
      </c>
      <c r="V1864" s="1" t="s">
        <v>403</v>
      </c>
      <c r="W1864" s="1" t="s">
        <v>288</v>
      </c>
      <c r="X1864" s="1"/>
      <c r="Y1864" s="1"/>
      <c r="Z1864" s="1" t="s">
        <v>60</v>
      </c>
      <c r="AA1864" s="1" t="s">
        <v>7673</v>
      </c>
      <c r="AB1864" s="1" t="str">
        <f>"***535477**"</f>
        <v>***535477**</v>
      </c>
      <c r="AC1864" s="1"/>
      <c r="AD1864" s="1" t="s">
        <v>62</v>
      </c>
      <c r="AE1864" s="1"/>
      <c r="AF1864" s="1">
        <v>-40.496944</v>
      </c>
      <c r="AG1864" s="1">
        <v>-20.666945</v>
      </c>
      <c r="AH1864" s="1" t="s">
        <v>7674</v>
      </c>
      <c r="AI1864" s="1"/>
      <c r="AJ1864" s="1" t="s">
        <v>172</v>
      </c>
      <c r="AK1864" s="1"/>
      <c r="AL1864" s="1"/>
      <c r="AM1864" s="1" t="s">
        <v>65</v>
      </c>
      <c r="AN1864" s="1" t="s">
        <v>6765</v>
      </c>
      <c r="AO1864" s="1"/>
      <c r="AP1864" s="2">
        <v>43760.6412962963</v>
      </c>
      <c r="AQ1864" s="1"/>
      <c r="AR1864" s="1" t="s">
        <v>3259</v>
      </c>
      <c r="AS1864" s="1"/>
      <c r="AT1864" s="2">
        <v>44269.931099537</v>
      </c>
    </row>
    <row r="1865" ht="13.5" customHeight="1">
      <c r="A1865" s="1"/>
      <c r="B1865" s="1" t="s">
        <v>46</v>
      </c>
      <c r="C1865" s="1" t="s">
        <v>47</v>
      </c>
      <c r="D1865" s="1"/>
      <c r="E1865" s="1" t="s">
        <v>7675</v>
      </c>
      <c r="F1865" s="1"/>
      <c r="G1865" s="1" t="s">
        <v>49</v>
      </c>
      <c r="H1865" s="1" t="s">
        <v>93</v>
      </c>
      <c r="I1865" s="1">
        <v>4690000.0</v>
      </c>
      <c r="J1865" s="1"/>
      <c r="K1865" s="1"/>
      <c r="L1865" s="1"/>
      <c r="M1865" s="1" t="s">
        <v>7676</v>
      </c>
      <c r="N1865" s="1" t="s">
        <v>142</v>
      </c>
      <c r="O1865" s="1" t="s">
        <v>143</v>
      </c>
      <c r="P1865" s="2">
        <v>43760.605625</v>
      </c>
      <c r="Q1865" s="1" t="s">
        <v>373</v>
      </c>
      <c r="R1865" s="1"/>
      <c r="S1865" s="1"/>
      <c r="T1865" s="1">
        <v>1500602.0</v>
      </c>
      <c r="U1865" s="1" t="s">
        <v>5135</v>
      </c>
      <c r="V1865" s="1" t="s">
        <v>193</v>
      </c>
      <c r="W1865" s="1" t="s">
        <v>177</v>
      </c>
      <c r="X1865" s="1"/>
      <c r="Y1865" s="1"/>
      <c r="Z1865" s="1" t="s">
        <v>147</v>
      </c>
      <c r="AA1865" s="1" t="s">
        <v>7677</v>
      </c>
      <c r="AB1865" s="1" t="str">
        <f>"***777866**"</f>
        <v>***777866**</v>
      </c>
      <c r="AC1865" s="1"/>
      <c r="AD1865" s="1" t="s">
        <v>116</v>
      </c>
      <c r="AE1865" s="1"/>
      <c r="AF1865" s="1">
        <v>-55.06361</v>
      </c>
      <c r="AG1865" s="1">
        <v>-6.600833</v>
      </c>
      <c r="AH1865" s="1" t="s">
        <v>7678</v>
      </c>
      <c r="AI1865" s="1"/>
      <c r="AJ1865" s="1" t="s">
        <v>172</v>
      </c>
      <c r="AK1865" s="1"/>
      <c r="AL1865" s="1"/>
      <c r="AM1865" s="1" t="s">
        <v>65</v>
      </c>
      <c r="AN1865" s="1" t="s">
        <v>6258</v>
      </c>
      <c r="AO1865" s="1"/>
      <c r="AP1865" s="2">
        <v>44237.5168055556</v>
      </c>
      <c r="AQ1865" s="1"/>
      <c r="AR1865" s="1" t="s">
        <v>644</v>
      </c>
      <c r="AS1865" s="1"/>
      <c r="AT1865" s="2">
        <v>44269.931099537</v>
      </c>
    </row>
    <row r="1866" ht="13.5" customHeight="1">
      <c r="A1866" s="1">
        <v>2035796.0</v>
      </c>
      <c r="B1866" s="1" t="s">
        <v>67</v>
      </c>
      <c r="C1866" s="1" t="s">
        <v>68</v>
      </c>
      <c r="D1866" s="1" t="s">
        <v>46</v>
      </c>
      <c r="E1866" s="1" t="s">
        <v>7679</v>
      </c>
      <c r="F1866" s="1"/>
      <c r="G1866" s="1" t="s">
        <v>70</v>
      </c>
      <c r="H1866" s="1" t="s">
        <v>93</v>
      </c>
      <c r="I1866" s="1">
        <v>500.0</v>
      </c>
      <c r="J1866" s="1"/>
      <c r="K1866" s="1"/>
      <c r="L1866" s="1" t="s">
        <v>172</v>
      </c>
      <c r="M1866" s="1" t="s">
        <v>7680</v>
      </c>
      <c r="N1866" s="1" t="s">
        <v>95</v>
      </c>
      <c r="O1866" s="1" t="s">
        <v>96</v>
      </c>
      <c r="P1866" s="2">
        <v>43760.5833333333</v>
      </c>
      <c r="Q1866" s="1" t="s">
        <v>373</v>
      </c>
      <c r="R1866" s="3">
        <v>43760.0</v>
      </c>
      <c r="S1866" s="1"/>
      <c r="T1866" s="1">
        <v>1302405.0</v>
      </c>
      <c r="U1866" s="1" t="s">
        <v>2258</v>
      </c>
      <c r="V1866" s="1" t="s">
        <v>486</v>
      </c>
      <c r="W1866" s="1" t="s">
        <v>177</v>
      </c>
      <c r="X1866" s="1"/>
      <c r="Y1866" s="1" t="str">
        <f>"02001008922202032"</f>
        <v>02001008922202032</v>
      </c>
      <c r="Z1866" s="1" t="s">
        <v>98</v>
      </c>
      <c r="AA1866" s="1" t="s">
        <v>7681</v>
      </c>
      <c r="AB1866" s="1" t="str">
        <f>"***540162**"</f>
        <v>***540162**</v>
      </c>
      <c r="AC1866" s="1"/>
      <c r="AD1866" s="1"/>
      <c r="AE1866" s="1"/>
      <c r="AF1866" s="1">
        <v>-65.490829</v>
      </c>
      <c r="AG1866" s="1">
        <v>-9.167778</v>
      </c>
      <c r="AH1866" s="1" t="s">
        <v>7682</v>
      </c>
      <c r="AI1866" s="1"/>
      <c r="AJ1866" s="1" t="s">
        <v>172</v>
      </c>
      <c r="AK1866" s="1"/>
      <c r="AL1866" s="1" t="s">
        <v>79</v>
      </c>
      <c r="AM1866" s="1" t="s">
        <v>65</v>
      </c>
      <c r="AN1866" s="1" t="s">
        <v>6258</v>
      </c>
      <c r="AO1866" s="2">
        <v>43920.0</v>
      </c>
      <c r="AP1866" s="2">
        <v>43920.4364583333</v>
      </c>
      <c r="AQ1866" s="1" t="s">
        <v>80</v>
      </c>
      <c r="AR1866" s="1" t="s">
        <v>481</v>
      </c>
      <c r="AS1866" s="1"/>
      <c r="AT1866" s="2">
        <v>44269.931099537</v>
      </c>
    </row>
    <row r="1867" ht="13.5" customHeight="1">
      <c r="A1867" s="1"/>
      <c r="B1867" s="1" t="s">
        <v>46</v>
      </c>
      <c r="C1867" s="1" t="s">
        <v>47</v>
      </c>
      <c r="D1867" s="1"/>
      <c r="E1867" s="1" t="s">
        <v>7683</v>
      </c>
      <c r="F1867" s="1"/>
      <c r="G1867" s="1" t="s">
        <v>49</v>
      </c>
      <c r="H1867" s="1" t="s">
        <v>50</v>
      </c>
      <c r="I1867" s="1">
        <v>700.0</v>
      </c>
      <c r="J1867" s="1"/>
      <c r="K1867" s="1" t="s">
        <v>51</v>
      </c>
      <c r="L1867" s="1"/>
      <c r="M1867" s="1" t="s">
        <v>7684</v>
      </c>
      <c r="N1867" s="1" t="s">
        <v>53</v>
      </c>
      <c r="O1867" s="1" t="s">
        <v>54</v>
      </c>
      <c r="P1867" s="2">
        <v>43760.5786574074</v>
      </c>
      <c r="Q1867" s="1" t="s">
        <v>373</v>
      </c>
      <c r="R1867" s="1"/>
      <c r="S1867" s="1"/>
      <c r="T1867" s="1">
        <v>5103106.0</v>
      </c>
      <c r="U1867" s="1" t="s">
        <v>5471</v>
      </c>
      <c r="V1867" s="1" t="s">
        <v>164</v>
      </c>
      <c r="W1867" s="1" t="s">
        <v>177</v>
      </c>
      <c r="X1867" s="1"/>
      <c r="Y1867" s="1"/>
      <c r="Z1867" s="1" t="s">
        <v>60</v>
      </c>
      <c r="AA1867" s="1" t="s">
        <v>7685</v>
      </c>
      <c r="AB1867" s="1" t="str">
        <f>"***489091**"</f>
        <v>***489091**</v>
      </c>
      <c r="AC1867" s="1"/>
      <c r="AD1867" s="1" t="s">
        <v>149</v>
      </c>
      <c r="AE1867" s="1"/>
      <c r="AF1867" s="1">
        <v>-50.983612</v>
      </c>
      <c r="AG1867" s="1">
        <v>-14.293333</v>
      </c>
      <c r="AH1867" s="1" t="s">
        <v>7686</v>
      </c>
      <c r="AI1867" s="1"/>
      <c r="AJ1867" s="1" t="s">
        <v>371</v>
      </c>
      <c r="AK1867" s="1"/>
      <c r="AL1867" s="1"/>
      <c r="AM1867" s="1" t="s">
        <v>65</v>
      </c>
      <c r="AN1867" s="1" t="s">
        <v>7105</v>
      </c>
      <c r="AO1867" s="1"/>
      <c r="AP1867" s="2">
        <v>44166.581724537</v>
      </c>
      <c r="AQ1867" s="1"/>
      <c r="AR1867" s="1" t="s">
        <v>1675</v>
      </c>
      <c r="AS1867" s="1"/>
      <c r="AT1867" s="2">
        <v>44269.931099537</v>
      </c>
    </row>
    <row r="1868" ht="13.5" customHeight="1">
      <c r="A1868" s="1"/>
      <c r="B1868" s="1" t="s">
        <v>46</v>
      </c>
      <c r="C1868" s="1" t="s">
        <v>47</v>
      </c>
      <c r="D1868" s="1"/>
      <c r="E1868" s="1" t="s">
        <v>7687</v>
      </c>
      <c r="F1868" s="1"/>
      <c r="G1868" s="1"/>
      <c r="H1868" s="1" t="s">
        <v>93</v>
      </c>
      <c r="I1868" s="1">
        <v>8200.0</v>
      </c>
      <c r="J1868" s="1"/>
      <c r="K1868" s="1" t="s">
        <v>140</v>
      </c>
      <c r="L1868" s="1"/>
      <c r="M1868" s="1" t="s">
        <v>7688</v>
      </c>
      <c r="N1868" s="1" t="s">
        <v>53</v>
      </c>
      <c r="O1868" s="1" t="s">
        <v>54</v>
      </c>
      <c r="P1868" s="2">
        <v>43760.5778472222</v>
      </c>
      <c r="Q1868" s="1" t="s">
        <v>373</v>
      </c>
      <c r="R1868" s="1"/>
      <c r="S1868" s="1"/>
      <c r="T1868" s="1">
        <v>3202405.0</v>
      </c>
      <c r="U1868" s="1" t="s">
        <v>7672</v>
      </c>
      <c r="V1868" s="1" t="s">
        <v>403</v>
      </c>
      <c r="W1868" s="1" t="s">
        <v>288</v>
      </c>
      <c r="X1868" s="1"/>
      <c r="Y1868" s="1"/>
      <c r="Z1868" s="1" t="s">
        <v>60</v>
      </c>
      <c r="AA1868" s="1" t="s">
        <v>7689</v>
      </c>
      <c r="AB1868" s="1" t="str">
        <f>"***041147**"</f>
        <v>***041147**</v>
      </c>
      <c r="AC1868" s="1"/>
      <c r="AD1868" s="1" t="s">
        <v>62</v>
      </c>
      <c r="AE1868" s="1"/>
      <c r="AF1868" s="1">
        <v>-40.434723</v>
      </c>
      <c r="AG1868" s="1">
        <v>-20.648056</v>
      </c>
      <c r="AH1868" s="1" t="s">
        <v>7674</v>
      </c>
      <c r="AI1868" s="1"/>
      <c r="AJ1868" s="1" t="s">
        <v>172</v>
      </c>
      <c r="AK1868" s="1"/>
      <c r="AL1868" s="1"/>
      <c r="AM1868" s="1" t="s">
        <v>65</v>
      </c>
      <c r="AN1868" s="1" t="s">
        <v>6765</v>
      </c>
      <c r="AO1868" s="1"/>
      <c r="AP1868" s="2">
        <v>43760.6000462963</v>
      </c>
      <c r="AQ1868" s="1"/>
      <c r="AR1868" s="1" t="s">
        <v>3259</v>
      </c>
      <c r="AS1868" s="1"/>
      <c r="AT1868" s="2">
        <v>44269.931099537</v>
      </c>
    </row>
    <row r="1869" ht="13.5" customHeight="1">
      <c r="A1869" s="1"/>
      <c r="B1869" s="1" t="s">
        <v>46</v>
      </c>
      <c r="C1869" s="1" t="s">
        <v>47</v>
      </c>
      <c r="D1869" s="1"/>
      <c r="E1869" s="1" t="s">
        <v>7690</v>
      </c>
      <c r="F1869" s="1"/>
      <c r="G1869" s="1"/>
      <c r="H1869" s="1" t="s">
        <v>93</v>
      </c>
      <c r="I1869" s="1">
        <v>45000.0</v>
      </c>
      <c r="J1869" s="1"/>
      <c r="K1869" s="1"/>
      <c r="L1869" s="1"/>
      <c r="M1869" s="1" t="s">
        <v>7691</v>
      </c>
      <c r="N1869" s="1" t="s">
        <v>142</v>
      </c>
      <c r="O1869" s="1" t="s">
        <v>143</v>
      </c>
      <c r="P1869" s="2">
        <v>43760.5583680556</v>
      </c>
      <c r="Q1869" s="1" t="s">
        <v>373</v>
      </c>
      <c r="R1869" s="1"/>
      <c r="S1869" s="1"/>
      <c r="T1869" s="1">
        <v>1200104.0</v>
      </c>
      <c r="U1869" s="1" t="s">
        <v>4755</v>
      </c>
      <c r="V1869" s="1" t="s">
        <v>498</v>
      </c>
      <c r="W1869" s="1" t="s">
        <v>177</v>
      </c>
      <c r="X1869" s="1"/>
      <c r="Y1869" s="1"/>
      <c r="Z1869" s="1" t="s">
        <v>147</v>
      </c>
      <c r="AA1869" s="1" t="s">
        <v>7692</v>
      </c>
      <c r="AB1869" s="1" t="str">
        <f>"***165562**"</f>
        <v>***165562**</v>
      </c>
      <c r="AC1869" s="1"/>
      <c r="AD1869" s="1" t="s">
        <v>116</v>
      </c>
      <c r="AE1869" s="1"/>
      <c r="AF1869" s="1">
        <v>-69.371666</v>
      </c>
      <c r="AG1869" s="1">
        <v>-10.798056</v>
      </c>
      <c r="AH1869" s="1" t="s">
        <v>7693</v>
      </c>
      <c r="AI1869" s="1"/>
      <c r="AJ1869" s="1" t="s">
        <v>172</v>
      </c>
      <c r="AK1869" s="1"/>
      <c r="AL1869" s="1"/>
      <c r="AM1869" s="1" t="s">
        <v>65</v>
      </c>
      <c r="AN1869" s="1" t="s">
        <v>6258</v>
      </c>
      <c r="AO1869" s="1"/>
      <c r="AP1869" s="2">
        <v>43760.6518171296</v>
      </c>
      <c r="AQ1869" s="1"/>
      <c r="AR1869" s="1" t="s">
        <v>3478</v>
      </c>
      <c r="AS1869" s="1"/>
      <c r="AT1869" s="2">
        <v>44269.931099537</v>
      </c>
    </row>
    <row r="1870" ht="13.5" customHeight="1">
      <c r="A1870" s="1"/>
      <c r="B1870" s="1" t="s">
        <v>46</v>
      </c>
      <c r="C1870" s="1" t="s">
        <v>47</v>
      </c>
      <c r="D1870" s="1"/>
      <c r="E1870" s="1" t="s">
        <v>7694</v>
      </c>
      <c r="F1870" s="1"/>
      <c r="G1870" s="1" t="s">
        <v>49</v>
      </c>
      <c r="H1870" s="1" t="s">
        <v>93</v>
      </c>
      <c r="I1870" s="1">
        <v>105000.0</v>
      </c>
      <c r="J1870" s="1"/>
      <c r="K1870" s="1"/>
      <c r="L1870" s="1"/>
      <c r="M1870" s="1" t="s">
        <v>7695</v>
      </c>
      <c r="N1870" s="1" t="s">
        <v>142</v>
      </c>
      <c r="O1870" s="1" t="s">
        <v>143</v>
      </c>
      <c r="P1870" s="2">
        <v>43760.5537847222</v>
      </c>
      <c r="Q1870" s="1" t="s">
        <v>373</v>
      </c>
      <c r="R1870" s="1"/>
      <c r="S1870" s="1"/>
      <c r="T1870" s="1">
        <v>1200104.0</v>
      </c>
      <c r="U1870" s="1" t="s">
        <v>4755</v>
      </c>
      <c r="V1870" s="1" t="s">
        <v>498</v>
      </c>
      <c r="W1870" s="1" t="s">
        <v>177</v>
      </c>
      <c r="X1870" s="1"/>
      <c r="Y1870" s="1"/>
      <c r="Z1870" s="1" t="s">
        <v>147</v>
      </c>
      <c r="AA1870" s="1" t="s">
        <v>7696</v>
      </c>
      <c r="AB1870" s="1" t="str">
        <f>"***723572**"</f>
        <v>***723572**</v>
      </c>
      <c r="AC1870" s="1"/>
      <c r="AD1870" s="1" t="s">
        <v>116</v>
      </c>
      <c r="AE1870" s="1"/>
      <c r="AF1870" s="1">
        <v>-69.251251</v>
      </c>
      <c r="AG1870" s="1">
        <v>-10.780666</v>
      </c>
      <c r="AH1870" s="1" t="s">
        <v>7697</v>
      </c>
      <c r="AI1870" s="1"/>
      <c r="AJ1870" s="1" t="s">
        <v>172</v>
      </c>
      <c r="AK1870" s="1"/>
      <c r="AL1870" s="1"/>
      <c r="AM1870" s="1" t="s">
        <v>65</v>
      </c>
      <c r="AN1870" s="1" t="s">
        <v>6258</v>
      </c>
      <c r="AO1870" s="1"/>
      <c r="AP1870" s="2">
        <v>44088.8810416667</v>
      </c>
      <c r="AQ1870" s="1"/>
      <c r="AR1870" s="1" t="s">
        <v>3478</v>
      </c>
      <c r="AS1870" s="1"/>
      <c r="AT1870" s="2">
        <v>44269.931099537</v>
      </c>
    </row>
    <row r="1871" ht="13.5" customHeight="1">
      <c r="A1871" s="1"/>
      <c r="B1871" s="1" t="s">
        <v>46</v>
      </c>
      <c r="C1871" s="1" t="s">
        <v>47</v>
      </c>
      <c r="D1871" s="1"/>
      <c r="E1871" s="1" t="s">
        <v>7698</v>
      </c>
      <c r="F1871" s="1"/>
      <c r="G1871" s="1"/>
      <c r="H1871" s="1" t="s">
        <v>93</v>
      </c>
      <c r="I1871" s="1">
        <v>10500.0</v>
      </c>
      <c r="J1871" s="1"/>
      <c r="K1871" s="1" t="s">
        <v>51</v>
      </c>
      <c r="L1871" s="1"/>
      <c r="M1871" s="1" t="s">
        <v>7699</v>
      </c>
      <c r="N1871" s="1" t="s">
        <v>977</v>
      </c>
      <c r="O1871" s="1" t="s">
        <v>978</v>
      </c>
      <c r="P1871" s="2">
        <v>43760.5156365741</v>
      </c>
      <c r="Q1871" s="1" t="s">
        <v>55</v>
      </c>
      <c r="R1871" s="1"/>
      <c r="S1871" s="1"/>
      <c r="T1871" s="1">
        <v>5107925.0</v>
      </c>
      <c r="U1871" s="1" t="s">
        <v>7385</v>
      </c>
      <c r="V1871" s="1" t="s">
        <v>164</v>
      </c>
      <c r="W1871" s="1" t="s">
        <v>177</v>
      </c>
      <c r="X1871" s="1"/>
      <c r="Y1871" s="1"/>
      <c r="Z1871" s="1" t="s">
        <v>980</v>
      </c>
      <c r="AA1871" s="1" t="s">
        <v>7700</v>
      </c>
      <c r="AB1871" s="1" t="str">
        <f>"11928716000501"</f>
        <v>11928716000501</v>
      </c>
      <c r="AC1871" s="1"/>
      <c r="AD1871" s="1" t="s">
        <v>62</v>
      </c>
      <c r="AE1871" s="1"/>
      <c r="AF1871" s="1">
        <v>-55.811111</v>
      </c>
      <c r="AG1871" s="1">
        <v>-12.697778</v>
      </c>
      <c r="AH1871" s="1" t="s">
        <v>7701</v>
      </c>
      <c r="AI1871" s="1"/>
      <c r="AJ1871" s="1" t="s">
        <v>167</v>
      </c>
      <c r="AK1871" s="1"/>
      <c r="AL1871" s="1"/>
      <c r="AM1871" s="1" t="s">
        <v>65</v>
      </c>
      <c r="AN1871" s="1" t="s">
        <v>6985</v>
      </c>
      <c r="AO1871" s="1"/>
      <c r="AP1871" s="2">
        <v>43760.5255092593</v>
      </c>
      <c r="AQ1871" s="1"/>
      <c r="AR1871" s="1" t="s">
        <v>721</v>
      </c>
      <c r="AS1871" s="1"/>
      <c r="AT1871" s="2">
        <v>44269.931099537</v>
      </c>
    </row>
    <row r="1872" ht="13.5" customHeight="1">
      <c r="A1872" s="1">
        <v>2035799.0</v>
      </c>
      <c r="B1872" s="1" t="s">
        <v>67</v>
      </c>
      <c r="C1872" s="1" t="s">
        <v>68</v>
      </c>
      <c r="D1872" s="1" t="s">
        <v>46</v>
      </c>
      <c r="E1872" s="1" t="s">
        <v>7702</v>
      </c>
      <c r="F1872" s="1"/>
      <c r="G1872" s="1" t="s">
        <v>70</v>
      </c>
      <c r="H1872" s="1" t="s">
        <v>50</v>
      </c>
      <c r="I1872" s="1">
        <v>420000.0</v>
      </c>
      <c r="J1872" s="1"/>
      <c r="K1872" s="1"/>
      <c r="L1872" s="1" t="s">
        <v>172</v>
      </c>
      <c r="M1872" s="1" t="s">
        <v>7703</v>
      </c>
      <c r="N1872" s="1" t="s">
        <v>142</v>
      </c>
      <c r="O1872" s="1" t="s">
        <v>143</v>
      </c>
      <c r="P1872" s="2">
        <v>43760.5</v>
      </c>
      <c r="Q1872" s="1" t="s">
        <v>373</v>
      </c>
      <c r="R1872" s="3">
        <v>43760.0</v>
      </c>
      <c r="S1872" s="1"/>
      <c r="T1872" s="1">
        <v>1302405.0</v>
      </c>
      <c r="U1872" s="1" t="s">
        <v>2258</v>
      </c>
      <c r="V1872" s="1" t="s">
        <v>486</v>
      </c>
      <c r="W1872" s="1" t="s">
        <v>177</v>
      </c>
      <c r="X1872" s="1"/>
      <c r="Y1872" s="1" t="str">
        <f>"02001008930202089"</f>
        <v>02001008930202089</v>
      </c>
      <c r="Z1872" s="1" t="s">
        <v>147</v>
      </c>
      <c r="AA1872" s="1" t="s">
        <v>7704</v>
      </c>
      <c r="AB1872" s="1" t="str">
        <f t="shared" ref="AB1872:AB1873" si="118">"***650478**"</f>
        <v>***650478**</v>
      </c>
      <c r="AC1872" s="1"/>
      <c r="AD1872" s="1"/>
      <c r="AE1872" s="1"/>
      <c r="AF1872" s="1">
        <v>-65.447502</v>
      </c>
      <c r="AG1872" s="1">
        <v>-9.215555</v>
      </c>
      <c r="AH1872" s="1" t="s">
        <v>7705</v>
      </c>
      <c r="AI1872" s="1"/>
      <c r="AJ1872" s="1" t="s">
        <v>172</v>
      </c>
      <c r="AK1872" s="1"/>
      <c r="AL1872" s="1" t="s">
        <v>79</v>
      </c>
      <c r="AM1872" s="1" t="s">
        <v>65</v>
      </c>
      <c r="AN1872" s="1" t="s">
        <v>6258</v>
      </c>
      <c r="AO1872" s="2">
        <v>43920.0</v>
      </c>
      <c r="AP1872" s="2">
        <v>43920.4624421296</v>
      </c>
      <c r="AQ1872" s="1" t="s">
        <v>80</v>
      </c>
      <c r="AR1872" s="1" t="s">
        <v>1607</v>
      </c>
      <c r="AS1872" s="1"/>
      <c r="AT1872" s="2">
        <v>44269.931099537</v>
      </c>
    </row>
    <row r="1873" ht="13.5" customHeight="1">
      <c r="A1873" s="1">
        <v>2035794.0</v>
      </c>
      <c r="B1873" s="1" t="s">
        <v>67</v>
      </c>
      <c r="C1873" s="1" t="s">
        <v>68</v>
      </c>
      <c r="D1873" s="1" t="s">
        <v>46</v>
      </c>
      <c r="E1873" s="1" t="s">
        <v>7706</v>
      </c>
      <c r="F1873" s="1"/>
      <c r="G1873" s="1" t="s">
        <v>70</v>
      </c>
      <c r="H1873" s="1" t="s">
        <v>93</v>
      </c>
      <c r="I1873" s="1">
        <v>5460000.0</v>
      </c>
      <c r="J1873" s="1"/>
      <c r="K1873" s="1"/>
      <c r="L1873" s="1" t="s">
        <v>172</v>
      </c>
      <c r="M1873" s="1" t="s">
        <v>7707</v>
      </c>
      <c r="N1873" s="1" t="s">
        <v>142</v>
      </c>
      <c r="O1873" s="1" t="s">
        <v>143</v>
      </c>
      <c r="P1873" s="2">
        <v>43760.4583333333</v>
      </c>
      <c r="Q1873" s="1" t="s">
        <v>373</v>
      </c>
      <c r="R1873" s="3">
        <v>43760.0</v>
      </c>
      <c r="S1873" s="1"/>
      <c r="T1873" s="1">
        <v>1302405.0</v>
      </c>
      <c r="U1873" s="1" t="s">
        <v>2258</v>
      </c>
      <c r="V1873" s="1" t="s">
        <v>486</v>
      </c>
      <c r="W1873" s="1" t="s">
        <v>177</v>
      </c>
      <c r="X1873" s="1"/>
      <c r="Y1873" s="1" t="str">
        <f>"02001008918202074"</f>
        <v>02001008918202074</v>
      </c>
      <c r="Z1873" s="1" t="s">
        <v>147</v>
      </c>
      <c r="AA1873" s="1" t="s">
        <v>7704</v>
      </c>
      <c r="AB1873" s="1" t="str">
        <f t="shared" si="118"/>
        <v>***650478**</v>
      </c>
      <c r="AC1873" s="1"/>
      <c r="AD1873" s="1"/>
      <c r="AE1873" s="1"/>
      <c r="AF1873" s="1">
        <v>-65.452499</v>
      </c>
      <c r="AG1873" s="1">
        <v>-9.191944</v>
      </c>
      <c r="AH1873" s="1" t="s">
        <v>7708</v>
      </c>
      <c r="AI1873" s="1"/>
      <c r="AJ1873" s="1" t="s">
        <v>172</v>
      </c>
      <c r="AK1873" s="1"/>
      <c r="AL1873" s="1" t="s">
        <v>79</v>
      </c>
      <c r="AM1873" s="1" t="s">
        <v>65</v>
      </c>
      <c r="AN1873" s="1" t="s">
        <v>6258</v>
      </c>
      <c r="AO1873" s="2">
        <v>43920.0</v>
      </c>
      <c r="AP1873" s="2">
        <v>43920.4135532407</v>
      </c>
      <c r="AQ1873" s="1" t="s">
        <v>80</v>
      </c>
      <c r="AR1873" s="1" t="s">
        <v>650</v>
      </c>
      <c r="AS1873" s="1"/>
      <c r="AT1873" s="2">
        <v>44269.931099537</v>
      </c>
    </row>
    <row r="1874" ht="13.5" customHeight="1">
      <c r="A1874" s="1">
        <v>2036061.0</v>
      </c>
      <c r="B1874" s="1" t="s">
        <v>67</v>
      </c>
      <c r="C1874" s="1" t="s">
        <v>68</v>
      </c>
      <c r="D1874" s="1" t="s">
        <v>46</v>
      </c>
      <c r="E1874" s="1" t="s">
        <v>7709</v>
      </c>
      <c r="F1874" s="1"/>
      <c r="G1874" s="1" t="s">
        <v>70</v>
      </c>
      <c r="H1874" s="1" t="s">
        <v>50</v>
      </c>
      <c r="I1874" s="1">
        <v>5500.0</v>
      </c>
      <c r="J1874" s="1"/>
      <c r="K1874" s="1"/>
      <c r="L1874" s="1" t="s">
        <v>406</v>
      </c>
      <c r="M1874" s="1" t="s">
        <v>7710</v>
      </c>
      <c r="N1874" s="1" t="s">
        <v>142</v>
      </c>
      <c r="O1874" s="1" t="s">
        <v>143</v>
      </c>
      <c r="P1874" s="2">
        <v>43760.4583333333</v>
      </c>
      <c r="Q1874" s="1" t="s">
        <v>74</v>
      </c>
      <c r="R1874" s="3">
        <v>43810.0</v>
      </c>
      <c r="S1874" s="1" t="s">
        <v>7534</v>
      </c>
      <c r="T1874" s="1">
        <v>3201209.0</v>
      </c>
      <c r="U1874" s="1" t="s">
        <v>7711</v>
      </c>
      <c r="V1874" s="1" t="s">
        <v>403</v>
      </c>
      <c r="W1874" s="1" t="s">
        <v>59</v>
      </c>
      <c r="X1874" s="1"/>
      <c r="Y1874" s="1" t="str">
        <f>"02009000799202031"</f>
        <v>02009000799202031</v>
      </c>
      <c r="Z1874" s="1" t="s">
        <v>147</v>
      </c>
      <c r="AA1874" s="1" t="s">
        <v>7712</v>
      </c>
      <c r="AB1874" s="1" t="str">
        <f>"27189489000148"</f>
        <v>27189489000148</v>
      </c>
      <c r="AC1874" s="1"/>
      <c r="AD1874" s="1"/>
      <c r="AE1874" s="1"/>
      <c r="AF1874" s="1">
        <v>-40.700832</v>
      </c>
      <c r="AG1874" s="1">
        <v>-18.622499</v>
      </c>
      <c r="AH1874" s="1" t="s">
        <v>7713</v>
      </c>
      <c r="AI1874" s="1"/>
      <c r="AJ1874" s="1" t="s">
        <v>406</v>
      </c>
      <c r="AK1874" s="1"/>
      <c r="AL1874" s="1" t="s">
        <v>79</v>
      </c>
      <c r="AM1874" s="1" t="s">
        <v>65</v>
      </c>
      <c r="AN1874" s="1" t="s">
        <v>168</v>
      </c>
      <c r="AO1874" s="2">
        <v>43928.0</v>
      </c>
      <c r="AP1874" s="2">
        <v>43928.4650347222</v>
      </c>
      <c r="AQ1874" s="1" t="s">
        <v>80</v>
      </c>
      <c r="AR1874" s="1" t="s">
        <v>5582</v>
      </c>
      <c r="AS1874" s="1"/>
      <c r="AT1874" s="2">
        <v>44269.931099537</v>
      </c>
    </row>
    <row r="1875" ht="13.5" customHeight="1">
      <c r="A1875" s="1">
        <v>2043478.0</v>
      </c>
      <c r="B1875" s="1" t="s">
        <v>67</v>
      </c>
      <c r="C1875" s="1" t="s">
        <v>68</v>
      </c>
      <c r="D1875" s="1" t="s">
        <v>46</v>
      </c>
      <c r="E1875" s="1" t="s">
        <v>7714</v>
      </c>
      <c r="F1875" s="1"/>
      <c r="G1875" s="1" t="s">
        <v>70</v>
      </c>
      <c r="H1875" s="1" t="s">
        <v>93</v>
      </c>
      <c r="I1875" s="1">
        <v>5600.0</v>
      </c>
      <c r="J1875" s="1"/>
      <c r="K1875" s="1"/>
      <c r="L1875" s="1" t="s">
        <v>7715</v>
      </c>
      <c r="M1875" s="1" t="s">
        <v>7716</v>
      </c>
      <c r="N1875" s="1" t="s">
        <v>283</v>
      </c>
      <c r="O1875" s="1" t="s">
        <v>1364</v>
      </c>
      <c r="P1875" s="2">
        <v>43760.4583333333</v>
      </c>
      <c r="Q1875" s="1" t="s">
        <v>373</v>
      </c>
      <c r="R1875" s="3">
        <v>43760.0</v>
      </c>
      <c r="S1875" s="1"/>
      <c r="T1875" s="1">
        <v>3202405.0</v>
      </c>
      <c r="U1875" s="1" t="s">
        <v>7672</v>
      </c>
      <c r="V1875" s="1" t="s">
        <v>403</v>
      </c>
      <c r="W1875" s="1" t="s">
        <v>288</v>
      </c>
      <c r="X1875" s="1"/>
      <c r="Y1875" s="1"/>
      <c r="Z1875" s="1" t="s">
        <v>128</v>
      </c>
      <c r="AA1875" s="1" t="s">
        <v>7717</v>
      </c>
      <c r="AB1875" s="1" t="str">
        <f>"***490397**"</f>
        <v>***490397**</v>
      </c>
      <c r="AC1875" s="1"/>
      <c r="AD1875" s="1"/>
      <c r="AE1875" s="1"/>
      <c r="AF1875" s="1">
        <v>-47.861944</v>
      </c>
      <c r="AG1875" s="1">
        <v>-15.767222</v>
      </c>
      <c r="AH1875" s="1" t="s">
        <v>7718</v>
      </c>
      <c r="AI1875" s="1"/>
      <c r="AJ1875" s="1" t="s">
        <v>7715</v>
      </c>
      <c r="AK1875" s="1"/>
      <c r="AL1875" s="1" t="s">
        <v>79</v>
      </c>
      <c r="AM1875" s="1" t="s">
        <v>65</v>
      </c>
      <c r="AN1875" s="1" t="s">
        <v>6765</v>
      </c>
      <c r="AO1875" s="2">
        <v>44239.0</v>
      </c>
      <c r="AP1875" s="2">
        <v>44239.6242939815</v>
      </c>
      <c r="AQ1875" s="1" t="s">
        <v>80</v>
      </c>
      <c r="AR1875" s="1" t="s">
        <v>188</v>
      </c>
      <c r="AS1875" s="1" t="s">
        <v>7719</v>
      </c>
      <c r="AT1875" s="2">
        <v>44269.931099537</v>
      </c>
    </row>
    <row r="1876" ht="13.5" customHeight="1">
      <c r="A1876" s="1"/>
      <c r="B1876" s="1" t="s">
        <v>46</v>
      </c>
      <c r="C1876" s="1" t="s">
        <v>47</v>
      </c>
      <c r="D1876" s="1"/>
      <c r="E1876" s="1" t="s">
        <v>7720</v>
      </c>
      <c r="F1876" s="1"/>
      <c r="G1876" s="1"/>
      <c r="H1876" s="1" t="s">
        <v>93</v>
      </c>
      <c r="I1876" s="1">
        <v>5045.04</v>
      </c>
      <c r="J1876" s="1"/>
      <c r="K1876" s="1"/>
      <c r="L1876" s="1"/>
      <c r="M1876" s="1" t="s">
        <v>7721</v>
      </c>
      <c r="N1876" s="1" t="s">
        <v>142</v>
      </c>
      <c r="O1876" s="1" t="s">
        <v>143</v>
      </c>
      <c r="P1876" s="2">
        <v>43760.4281597222</v>
      </c>
      <c r="Q1876" s="1" t="s">
        <v>373</v>
      </c>
      <c r="R1876" s="1"/>
      <c r="S1876" s="1"/>
      <c r="T1876" s="1">
        <v>2211001.0</v>
      </c>
      <c r="U1876" s="1" t="s">
        <v>1667</v>
      </c>
      <c r="V1876" s="1" t="s">
        <v>895</v>
      </c>
      <c r="W1876" s="1" t="s">
        <v>177</v>
      </c>
      <c r="X1876" s="1"/>
      <c r="Y1876" s="1"/>
      <c r="Z1876" s="1" t="s">
        <v>147</v>
      </c>
      <c r="AA1876" s="1" t="s">
        <v>7722</v>
      </c>
      <c r="AB1876" s="1" t="str">
        <f>"***219963**"</f>
        <v>***219963**</v>
      </c>
      <c r="AC1876" s="1"/>
      <c r="AD1876" s="1" t="s">
        <v>62</v>
      </c>
      <c r="AE1876" s="1"/>
      <c r="AF1876" s="1">
        <v>-42.756668</v>
      </c>
      <c r="AG1876" s="1">
        <v>-5.198889</v>
      </c>
      <c r="AH1876" s="1" t="s">
        <v>7723</v>
      </c>
      <c r="AI1876" s="1"/>
      <c r="AJ1876" s="1" t="s">
        <v>898</v>
      </c>
      <c r="AK1876" s="1"/>
      <c r="AL1876" s="1"/>
      <c r="AM1876" s="1" t="s">
        <v>65</v>
      </c>
      <c r="AN1876" s="1" t="s">
        <v>152</v>
      </c>
      <c r="AO1876" s="1"/>
      <c r="AP1876" s="2">
        <v>43760.4563194444</v>
      </c>
      <c r="AQ1876" s="1"/>
      <c r="AR1876" s="1" t="s">
        <v>280</v>
      </c>
      <c r="AS1876" s="1"/>
      <c r="AT1876" s="2">
        <v>44269.931099537</v>
      </c>
    </row>
    <row r="1877" ht="13.5" customHeight="1">
      <c r="A1877" s="1"/>
      <c r="B1877" s="1" t="s">
        <v>46</v>
      </c>
      <c r="C1877" s="1" t="s">
        <v>47</v>
      </c>
      <c r="D1877" s="1"/>
      <c r="E1877" s="1" t="s">
        <v>7724</v>
      </c>
      <c r="F1877" s="1"/>
      <c r="G1877" s="1"/>
      <c r="H1877" s="1" t="s">
        <v>93</v>
      </c>
      <c r="I1877" s="1">
        <v>12000.0</v>
      </c>
      <c r="J1877" s="1"/>
      <c r="K1877" s="1"/>
      <c r="L1877" s="1"/>
      <c r="M1877" s="1" t="s">
        <v>7725</v>
      </c>
      <c r="N1877" s="1" t="s">
        <v>142</v>
      </c>
      <c r="O1877" s="1" t="s">
        <v>143</v>
      </c>
      <c r="P1877" s="2">
        <v>43760.4204398148</v>
      </c>
      <c r="Q1877" s="1" t="s">
        <v>373</v>
      </c>
      <c r="R1877" s="1"/>
      <c r="S1877" s="1"/>
      <c r="T1877" s="1">
        <v>2502607.0</v>
      </c>
      <c r="U1877" s="1" t="s">
        <v>5936</v>
      </c>
      <c r="V1877" s="1" t="s">
        <v>728</v>
      </c>
      <c r="W1877" s="1" t="s">
        <v>113</v>
      </c>
      <c r="X1877" s="1"/>
      <c r="Y1877" s="1"/>
      <c r="Z1877" s="1" t="s">
        <v>147</v>
      </c>
      <c r="AA1877" s="1" t="s">
        <v>7726</v>
      </c>
      <c r="AB1877" s="1" t="str">
        <f>"12663179000146"</f>
        <v>12663179000146</v>
      </c>
      <c r="AC1877" s="1"/>
      <c r="AD1877" s="1" t="s">
        <v>149</v>
      </c>
      <c r="AE1877" s="1"/>
      <c r="AF1877" s="1">
        <v>-37.919445</v>
      </c>
      <c r="AG1877" s="1">
        <v>-7.188611</v>
      </c>
      <c r="AH1877" s="1" t="s">
        <v>7727</v>
      </c>
      <c r="AI1877" s="1"/>
      <c r="AJ1877" s="1" t="s">
        <v>731</v>
      </c>
      <c r="AK1877" s="1"/>
      <c r="AL1877" s="1"/>
      <c r="AM1877" s="1" t="s">
        <v>65</v>
      </c>
      <c r="AN1877" s="1" t="s">
        <v>5939</v>
      </c>
      <c r="AO1877" s="1"/>
      <c r="AP1877" s="2">
        <v>43760.4916319445</v>
      </c>
      <c r="AQ1877" s="1"/>
      <c r="AR1877" s="1" t="s">
        <v>280</v>
      </c>
      <c r="AS1877" s="1"/>
      <c r="AT1877" s="2">
        <v>44269.931099537</v>
      </c>
    </row>
    <row r="1878" ht="13.5" customHeight="1">
      <c r="A1878" s="1">
        <v>2035797.0</v>
      </c>
      <c r="B1878" s="1" t="s">
        <v>67</v>
      </c>
      <c r="C1878" s="1" t="s">
        <v>68</v>
      </c>
      <c r="D1878" s="1" t="s">
        <v>46</v>
      </c>
      <c r="E1878" s="1" t="s">
        <v>7728</v>
      </c>
      <c r="F1878" s="1"/>
      <c r="G1878" s="1" t="s">
        <v>70</v>
      </c>
      <c r="H1878" s="1" t="s">
        <v>93</v>
      </c>
      <c r="I1878" s="1">
        <v>765000.0</v>
      </c>
      <c r="J1878" s="1"/>
      <c r="K1878" s="1"/>
      <c r="L1878" s="1" t="s">
        <v>172</v>
      </c>
      <c r="M1878" s="1" t="s">
        <v>7729</v>
      </c>
      <c r="N1878" s="1" t="s">
        <v>95</v>
      </c>
      <c r="O1878" s="1" t="s">
        <v>96</v>
      </c>
      <c r="P1878" s="2">
        <v>43760.4166666667</v>
      </c>
      <c r="Q1878" s="1" t="s">
        <v>373</v>
      </c>
      <c r="R1878" s="3">
        <v>43760.0</v>
      </c>
      <c r="S1878" s="1"/>
      <c r="T1878" s="1">
        <v>1302405.0</v>
      </c>
      <c r="U1878" s="1" t="s">
        <v>2258</v>
      </c>
      <c r="V1878" s="1" t="s">
        <v>486</v>
      </c>
      <c r="W1878" s="1" t="s">
        <v>177</v>
      </c>
      <c r="X1878" s="1"/>
      <c r="Y1878" s="1" t="str">
        <f>"02001008924202021"</f>
        <v>02001008924202021</v>
      </c>
      <c r="Z1878" s="1" t="s">
        <v>98</v>
      </c>
      <c r="AA1878" s="1" t="s">
        <v>7730</v>
      </c>
      <c r="AB1878" s="1" t="str">
        <f>"***540512**"</f>
        <v>***540512**</v>
      </c>
      <c r="AC1878" s="1"/>
      <c r="AD1878" s="1"/>
      <c r="AE1878" s="1"/>
      <c r="AF1878" s="1">
        <v>-65.494164</v>
      </c>
      <c r="AG1878" s="1">
        <v>-9.161388</v>
      </c>
      <c r="AH1878" s="1" t="s">
        <v>7682</v>
      </c>
      <c r="AI1878" s="1"/>
      <c r="AJ1878" s="1" t="s">
        <v>172</v>
      </c>
      <c r="AK1878" s="1"/>
      <c r="AL1878" s="1" t="s">
        <v>79</v>
      </c>
      <c r="AM1878" s="1" t="s">
        <v>65</v>
      </c>
      <c r="AN1878" s="1" t="s">
        <v>6258</v>
      </c>
      <c r="AO1878" s="2">
        <v>43920.0</v>
      </c>
      <c r="AP1878" s="2">
        <v>43920.4483912037</v>
      </c>
      <c r="AQ1878" s="1" t="s">
        <v>80</v>
      </c>
      <c r="AR1878" s="1" t="s">
        <v>650</v>
      </c>
      <c r="AS1878" s="1"/>
      <c r="AT1878" s="2">
        <v>44269.931099537</v>
      </c>
    </row>
    <row r="1879" ht="13.5" customHeight="1">
      <c r="A1879" s="1"/>
      <c r="B1879" s="1" t="s">
        <v>46</v>
      </c>
      <c r="C1879" s="1" t="s">
        <v>47</v>
      </c>
      <c r="D1879" s="1"/>
      <c r="E1879" s="1" t="s">
        <v>7731</v>
      </c>
      <c r="F1879" s="1"/>
      <c r="G1879" s="1" t="s">
        <v>49</v>
      </c>
      <c r="H1879" s="1" t="s">
        <v>93</v>
      </c>
      <c r="I1879" s="1">
        <v>110000.0</v>
      </c>
      <c r="J1879" s="1"/>
      <c r="K1879" s="1"/>
      <c r="L1879" s="1"/>
      <c r="M1879" s="1" t="s">
        <v>7732</v>
      </c>
      <c r="N1879" s="1" t="s">
        <v>142</v>
      </c>
      <c r="O1879" s="1" t="s">
        <v>143</v>
      </c>
      <c r="P1879" s="2">
        <v>43760.3845601852</v>
      </c>
      <c r="Q1879" s="1" t="s">
        <v>74</v>
      </c>
      <c r="R1879" s="3">
        <v>43789.0</v>
      </c>
      <c r="S1879" s="1"/>
      <c r="T1879" s="1">
        <v>1302405.0</v>
      </c>
      <c r="U1879" s="1" t="s">
        <v>2258</v>
      </c>
      <c r="V1879" s="1" t="s">
        <v>486</v>
      </c>
      <c r="W1879" s="1" t="s">
        <v>177</v>
      </c>
      <c r="X1879" s="1"/>
      <c r="Y1879" s="1"/>
      <c r="Z1879" s="1" t="s">
        <v>147</v>
      </c>
      <c r="AA1879" s="1" t="s">
        <v>7733</v>
      </c>
      <c r="AB1879" s="1" t="str">
        <f>"***584355**"</f>
        <v>***584355**</v>
      </c>
      <c r="AC1879" s="1"/>
      <c r="AD1879" s="1" t="s">
        <v>116</v>
      </c>
      <c r="AE1879" s="1"/>
      <c r="AF1879" s="1">
        <v>-65.822222</v>
      </c>
      <c r="AG1879" s="1">
        <v>-9.338056</v>
      </c>
      <c r="AH1879" s="1" t="s">
        <v>7734</v>
      </c>
      <c r="AI1879" s="1"/>
      <c r="AJ1879" s="1" t="s">
        <v>172</v>
      </c>
      <c r="AK1879" s="1"/>
      <c r="AL1879" s="1"/>
      <c r="AM1879" s="1" t="s">
        <v>65</v>
      </c>
      <c r="AN1879" s="1" t="s">
        <v>6258</v>
      </c>
      <c r="AO1879" s="1"/>
      <c r="AP1879" s="2">
        <v>44230.4553819444</v>
      </c>
      <c r="AQ1879" s="1"/>
      <c r="AR1879" s="1" t="s">
        <v>169</v>
      </c>
      <c r="AS1879" s="1"/>
      <c r="AT1879" s="2">
        <v>44269.931099537</v>
      </c>
    </row>
    <row r="1880" ht="13.5" customHeight="1">
      <c r="A1880" s="1"/>
      <c r="B1880" s="1" t="s">
        <v>46</v>
      </c>
      <c r="C1880" s="1" t="s">
        <v>47</v>
      </c>
      <c r="D1880" s="1"/>
      <c r="E1880" s="1" t="s">
        <v>7735</v>
      </c>
      <c r="F1880" s="1"/>
      <c r="G1880" s="1"/>
      <c r="H1880" s="1" t="s">
        <v>93</v>
      </c>
      <c r="I1880" s="1">
        <v>500000.0</v>
      </c>
      <c r="J1880" s="1"/>
      <c r="K1880" s="1"/>
      <c r="L1880" s="1"/>
      <c r="M1880" s="1" t="s">
        <v>7736</v>
      </c>
      <c r="N1880" s="1" t="s">
        <v>142</v>
      </c>
      <c r="O1880" s="1" t="s">
        <v>143</v>
      </c>
      <c r="P1880" s="2">
        <v>43760.3637384259</v>
      </c>
      <c r="Q1880" s="1" t="s">
        <v>55</v>
      </c>
      <c r="R1880" s="1"/>
      <c r="S1880" s="1"/>
      <c r="T1880" s="1">
        <v>5105101.0</v>
      </c>
      <c r="U1880" s="1" t="s">
        <v>6647</v>
      </c>
      <c r="V1880" s="1" t="s">
        <v>164</v>
      </c>
      <c r="W1880" s="1" t="s">
        <v>177</v>
      </c>
      <c r="X1880" s="1"/>
      <c r="Y1880" s="1"/>
      <c r="Z1880" s="1" t="s">
        <v>147</v>
      </c>
      <c r="AA1880" s="1" t="s">
        <v>7737</v>
      </c>
      <c r="AB1880" s="1" t="str">
        <f>"***840709**"</f>
        <v>***840709**</v>
      </c>
      <c r="AC1880" s="1"/>
      <c r="AD1880" s="1" t="s">
        <v>116</v>
      </c>
      <c r="AE1880" s="1"/>
      <c r="AF1880" s="1"/>
      <c r="AG1880" s="1">
        <v>-11.585555</v>
      </c>
      <c r="AH1880" s="1" t="s">
        <v>7738</v>
      </c>
      <c r="AI1880" s="1"/>
      <c r="AJ1880" s="1" t="s">
        <v>172</v>
      </c>
      <c r="AK1880" s="1"/>
      <c r="AL1880" s="1"/>
      <c r="AM1880" s="1" t="s">
        <v>65</v>
      </c>
      <c r="AN1880" s="1" t="s">
        <v>7489</v>
      </c>
      <c r="AO1880" s="1"/>
      <c r="AP1880" s="2">
        <v>43760.4432175926</v>
      </c>
      <c r="AQ1880" s="1"/>
      <c r="AR1880" s="1" t="s">
        <v>169</v>
      </c>
      <c r="AS1880" s="1"/>
      <c r="AT1880" s="2">
        <v>44269.931099537</v>
      </c>
    </row>
    <row r="1881" ht="13.5" customHeight="1">
      <c r="A1881" s="1">
        <v>2044206.0</v>
      </c>
      <c r="B1881" s="1" t="s">
        <v>67</v>
      </c>
      <c r="C1881" s="1" t="s">
        <v>68</v>
      </c>
      <c r="D1881" s="1" t="s">
        <v>46</v>
      </c>
      <c r="E1881" s="1" t="s">
        <v>7739</v>
      </c>
      <c r="F1881" s="1"/>
      <c r="G1881" s="1" t="s">
        <v>70</v>
      </c>
      <c r="H1881" s="1" t="s">
        <v>93</v>
      </c>
      <c r="I1881" s="1">
        <v>1500.0</v>
      </c>
      <c r="J1881" s="1"/>
      <c r="K1881" s="1"/>
      <c r="L1881" s="1" t="s">
        <v>172</v>
      </c>
      <c r="M1881" s="1" t="s">
        <v>7740</v>
      </c>
      <c r="N1881" s="1" t="s">
        <v>142</v>
      </c>
      <c r="O1881" s="1" t="s">
        <v>143</v>
      </c>
      <c r="P1881" s="2">
        <v>43759.9583333333</v>
      </c>
      <c r="Q1881" s="1" t="s">
        <v>74</v>
      </c>
      <c r="R1881" s="1"/>
      <c r="S1881" s="1"/>
      <c r="T1881" s="1">
        <v>1200104.0</v>
      </c>
      <c r="U1881" s="1" t="s">
        <v>4755</v>
      </c>
      <c r="V1881" s="1" t="s">
        <v>498</v>
      </c>
      <c r="W1881" s="1" t="s">
        <v>177</v>
      </c>
      <c r="X1881" s="1"/>
      <c r="Y1881" s="1" t="str">
        <f>"02001003658202041"</f>
        <v>02001003658202041</v>
      </c>
      <c r="Z1881" s="1" t="s">
        <v>147</v>
      </c>
      <c r="AA1881" s="1" t="s">
        <v>7741</v>
      </c>
      <c r="AB1881" s="1" t="str">
        <f>"***433792**"</f>
        <v>***433792**</v>
      </c>
      <c r="AC1881" s="1"/>
      <c r="AD1881" s="1"/>
      <c r="AE1881" s="1"/>
      <c r="AF1881" s="1">
        <v>-69.258331</v>
      </c>
      <c r="AG1881" s="1">
        <v>-10.693417</v>
      </c>
      <c r="AH1881" s="1" t="s">
        <v>7742</v>
      </c>
      <c r="AI1881" s="1"/>
      <c r="AJ1881" s="1" t="s">
        <v>172</v>
      </c>
      <c r="AK1881" s="1"/>
      <c r="AL1881" s="1" t="s">
        <v>79</v>
      </c>
      <c r="AM1881" s="1" t="s">
        <v>65</v>
      </c>
      <c r="AN1881" s="1" t="s">
        <v>6258</v>
      </c>
      <c r="AO1881" s="2">
        <v>44265.0</v>
      </c>
      <c r="AP1881" s="2">
        <v>44265.4214236111</v>
      </c>
      <c r="AQ1881" s="1" t="s">
        <v>80</v>
      </c>
      <c r="AR1881" s="1" t="s">
        <v>7743</v>
      </c>
      <c r="AS1881" s="1"/>
      <c r="AT1881" s="2">
        <v>44269.931099537</v>
      </c>
    </row>
    <row r="1882" ht="13.5" customHeight="1">
      <c r="A1882" s="1"/>
      <c r="B1882" s="1" t="s">
        <v>46</v>
      </c>
      <c r="C1882" s="1" t="s">
        <v>47</v>
      </c>
      <c r="D1882" s="1"/>
      <c r="E1882" s="1" t="s">
        <v>7744</v>
      </c>
      <c r="F1882" s="1"/>
      <c r="G1882" s="1"/>
      <c r="H1882" s="1" t="s">
        <v>93</v>
      </c>
      <c r="I1882" s="1">
        <v>2182500.0</v>
      </c>
      <c r="J1882" s="1"/>
      <c r="K1882" s="1"/>
      <c r="L1882" s="1"/>
      <c r="M1882" s="1" t="s">
        <v>7745</v>
      </c>
      <c r="N1882" s="1" t="s">
        <v>142</v>
      </c>
      <c r="O1882" s="1" t="s">
        <v>143</v>
      </c>
      <c r="P1882" s="2">
        <v>43759.8751967593</v>
      </c>
      <c r="Q1882" s="1" t="s">
        <v>373</v>
      </c>
      <c r="R1882" s="1"/>
      <c r="S1882" s="1"/>
      <c r="T1882" s="1">
        <v>5106158.0</v>
      </c>
      <c r="U1882" s="1" t="s">
        <v>1700</v>
      </c>
      <c r="V1882" s="1" t="s">
        <v>164</v>
      </c>
      <c r="W1882" s="1" t="s">
        <v>177</v>
      </c>
      <c r="X1882" s="1"/>
      <c r="Y1882" s="1"/>
      <c r="Z1882" s="1" t="s">
        <v>147</v>
      </c>
      <c r="AA1882" s="1" t="s">
        <v>7746</v>
      </c>
      <c r="AB1882" s="1" t="str">
        <f>"***186739**"</f>
        <v>***186739**</v>
      </c>
      <c r="AC1882" s="1"/>
      <c r="AD1882" s="1" t="s">
        <v>2103</v>
      </c>
      <c r="AE1882" s="1"/>
      <c r="AF1882" s="1">
        <v>-58.037224</v>
      </c>
      <c r="AG1882" s="1">
        <v>-9.960556</v>
      </c>
      <c r="AH1882" s="1" t="s">
        <v>7747</v>
      </c>
      <c r="AI1882" s="1"/>
      <c r="AJ1882" s="1" t="s">
        <v>172</v>
      </c>
      <c r="AK1882" s="1"/>
      <c r="AL1882" s="1"/>
      <c r="AM1882" s="1" t="s">
        <v>65</v>
      </c>
      <c r="AN1882" s="1" t="s">
        <v>6258</v>
      </c>
      <c r="AO1882" s="1"/>
      <c r="AP1882" s="2">
        <v>43759.893125</v>
      </c>
      <c r="AQ1882" s="1"/>
      <c r="AR1882" s="1" t="s">
        <v>7325</v>
      </c>
      <c r="AS1882" s="1"/>
      <c r="AT1882" s="2">
        <v>44269.931099537</v>
      </c>
    </row>
    <row r="1883" ht="13.5" customHeight="1">
      <c r="A1883" s="1"/>
      <c r="B1883" s="1" t="s">
        <v>46</v>
      </c>
      <c r="C1883" s="1" t="s">
        <v>47</v>
      </c>
      <c r="D1883" s="1"/>
      <c r="E1883" s="1" t="s">
        <v>7748</v>
      </c>
      <c r="F1883" s="1"/>
      <c r="G1883" s="1"/>
      <c r="H1883" s="1" t="s">
        <v>93</v>
      </c>
      <c r="I1883" s="1"/>
      <c r="J1883" s="1"/>
      <c r="K1883" s="1"/>
      <c r="L1883" s="1"/>
      <c r="M1883" s="1" t="s">
        <v>7749</v>
      </c>
      <c r="N1883" s="1" t="s">
        <v>142</v>
      </c>
      <c r="O1883" s="1" t="s">
        <v>143</v>
      </c>
      <c r="P1883" s="2">
        <v>43759.8747800926</v>
      </c>
      <c r="Q1883" s="1"/>
      <c r="R1883" s="1"/>
      <c r="S1883" s="1"/>
      <c r="T1883" s="1">
        <v>4102901.0</v>
      </c>
      <c r="U1883" s="1" t="s">
        <v>7750</v>
      </c>
      <c r="V1883" s="1" t="s">
        <v>176</v>
      </c>
      <c r="W1883" s="1" t="s">
        <v>59</v>
      </c>
      <c r="X1883" s="1"/>
      <c r="Y1883" s="1" t="str">
        <f>"02017000327202080"</f>
        <v>02017000327202080</v>
      </c>
      <c r="Z1883" s="1" t="s">
        <v>147</v>
      </c>
      <c r="AA1883" s="1" t="s">
        <v>7751</v>
      </c>
      <c r="AB1883" s="1" t="str">
        <f t="shared" ref="AB1883:AB1884" si="119">"***762979**"</f>
        <v>***762979**</v>
      </c>
      <c r="AC1883" s="1"/>
      <c r="AD1883" s="1" t="s">
        <v>116</v>
      </c>
      <c r="AE1883" s="1"/>
      <c r="AF1883" s="1">
        <v>-51.603333</v>
      </c>
      <c r="AG1883" s="1">
        <v>-26.258333</v>
      </c>
      <c r="AH1883" s="1" t="s">
        <v>7752</v>
      </c>
      <c r="AI1883" s="1"/>
      <c r="AJ1883" s="1" t="s">
        <v>358</v>
      </c>
      <c r="AK1883" s="1"/>
      <c r="AL1883" s="1"/>
      <c r="AM1883" s="1" t="s">
        <v>65</v>
      </c>
      <c r="AN1883" s="1" t="s">
        <v>1696</v>
      </c>
      <c r="AO1883" s="1"/>
      <c r="AP1883" s="2">
        <v>43759.8843634259</v>
      </c>
      <c r="AQ1883" s="1"/>
      <c r="AR1883" s="1" t="s">
        <v>7753</v>
      </c>
      <c r="AS1883" s="1"/>
      <c r="AT1883" s="2">
        <v>44269.931099537</v>
      </c>
    </row>
    <row r="1884" ht="13.5" customHeight="1">
      <c r="A1884" s="1">
        <v>2035571.0</v>
      </c>
      <c r="B1884" s="1" t="s">
        <v>67</v>
      </c>
      <c r="C1884" s="1" t="s">
        <v>68</v>
      </c>
      <c r="D1884" s="1" t="s">
        <v>46</v>
      </c>
      <c r="E1884" s="1" t="s">
        <v>7754</v>
      </c>
      <c r="F1884" s="1"/>
      <c r="G1884" s="1" t="s">
        <v>70</v>
      </c>
      <c r="H1884" s="1" t="s">
        <v>93</v>
      </c>
      <c r="I1884" s="1">
        <v>212800.0</v>
      </c>
      <c r="J1884" s="1"/>
      <c r="K1884" s="1"/>
      <c r="L1884" s="1" t="s">
        <v>358</v>
      </c>
      <c r="M1884" s="1" t="s">
        <v>7755</v>
      </c>
      <c r="N1884" s="1" t="s">
        <v>142</v>
      </c>
      <c r="O1884" s="1" t="s">
        <v>143</v>
      </c>
      <c r="P1884" s="2">
        <v>43759.75</v>
      </c>
      <c r="Q1884" s="1" t="s">
        <v>373</v>
      </c>
      <c r="R1884" s="3">
        <v>43759.0</v>
      </c>
      <c r="S1884" s="1"/>
      <c r="T1884" s="1">
        <v>4102901.0</v>
      </c>
      <c r="U1884" s="1" t="s">
        <v>7750</v>
      </c>
      <c r="V1884" s="1" t="s">
        <v>176</v>
      </c>
      <c r="W1884" s="1" t="s">
        <v>59</v>
      </c>
      <c r="X1884" s="1"/>
      <c r="Y1884" s="1" t="str">
        <f>"02017004652201988"</f>
        <v>02017004652201988</v>
      </c>
      <c r="Z1884" s="1" t="s">
        <v>147</v>
      </c>
      <c r="AA1884" s="1" t="s">
        <v>7756</v>
      </c>
      <c r="AB1884" s="1" t="str">
        <f t="shared" si="119"/>
        <v>***762979**</v>
      </c>
      <c r="AC1884" s="1"/>
      <c r="AD1884" s="1"/>
      <c r="AE1884" s="1"/>
      <c r="AF1884" s="1">
        <v>-51.603333</v>
      </c>
      <c r="AG1884" s="1">
        <v>-26.258333</v>
      </c>
      <c r="AH1884" s="1" t="s">
        <v>7757</v>
      </c>
      <c r="AI1884" s="1"/>
      <c r="AJ1884" s="1" t="s">
        <v>358</v>
      </c>
      <c r="AK1884" s="1"/>
      <c r="AL1884" s="1" t="s">
        <v>79</v>
      </c>
      <c r="AM1884" s="1" t="s">
        <v>65</v>
      </c>
      <c r="AN1884" s="1" t="s">
        <v>1696</v>
      </c>
      <c r="AO1884" s="2">
        <v>43909.0</v>
      </c>
      <c r="AP1884" s="2">
        <v>43909.4575115741</v>
      </c>
      <c r="AQ1884" s="1" t="s">
        <v>80</v>
      </c>
      <c r="AR1884" s="1" t="s">
        <v>7650</v>
      </c>
      <c r="AS1884" s="1"/>
      <c r="AT1884" s="2">
        <v>44269.931099537</v>
      </c>
    </row>
    <row r="1885" ht="13.5" customHeight="1">
      <c r="A1885" s="1"/>
      <c r="B1885" s="1" t="s">
        <v>46</v>
      </c>
      <c r="C1885" s="1" t="s">
        <v>47</v>
      </c>
      <c r="D1885" s="1"/>
      <c r="E1885" s="1" t="s">
        <v>7758</v>
      </c>
      <c r="F1885" s="1"/>
      <c r="G1885" s="1" t="s">
        <v>49</v>
      </c>
      <c r="H1885" s="1" t="s">
        <v>93</v>
      </c>
      <c r="I1885" s="1">
        <v>2812.95</v>
      </c>
      <c r="J1885" s="1"/>
      <c r="K1885" s="1"/>
      <c r="L1885" s="1"/>
      <c r="M1885" s="1" t="s">
        <v>7759</v>
      </c>
      <c r="N1885" s="1" t="s">
        <v>142</v>
      </c>
      <c r="O1885" s="1" t="s">
        <v>143</v>
      </c>
      <c r="P1885" s="2">
        <v>43759.7384837963</v>
      </c>
      <c r="Q1885" s="1" t="s">
        <v>373</v>
      </c>
      <c r="R1885" s="1"/>
      <c r="S1885" s="1"/>
      <c r="T1885" s="1">
        <v>2208007.0</v>
      </c>
      <c r="U1885" s="1" t="s">
        <v>894</v>
      </c>
      <c r="V1885" s="1" t="s">
        <v>895</v>
      </c>
      <c r="W1885" s="1" t="s">
        <v>113</v>
      </c>
      <c r="X1885" s="1"/>
      <c r="Y1885" s="1"/>
      <c r="Z1885" s="1" t="s">
        <v>147</v>
      </c>
      <c r="AA1885" s="1" t="s">
        <v>7760</v>
      </c>
      <c r="AB1885" s="1" t="str">
        <f>"***000693**"</f>
        <v>***000693**</v>
      </c>
      <c r="AC1885" s="1"/>
      <c r="AD1885" s="1" t="s">
        <v>149</v>
      </c>
      <c r="AE1885" s="1"/>
      <c r="AF1885" s="1">
        <v>-47.933056</v>
      </c>
      <c r="AG1885" s="1">
        <v>-15.83</v>
      </c>
      <c r="AH1885" s="1" t="s">
        <v>7761</v>
      </c>
      <c r="AI1885" s="1"/>
      <c r="AJ1885" s="1" t="s">
        <v>898</v>
      </c>
      <c r="AK1885" s="1"/>
      <c r="AL1885" s="1"/>
      <c r="AM1885" s="1" t="s">
        <v>65</v>
      </c>
      <c r="AN1885" s="1" t="s">
        <v>7428</v>
      </c>
      <c r="AO1885" s="1"/>
      <c r="AP1885" s="2">
        <v>44193.5406712963</v>
      </c>
      <c r="AQ1885" s="1"/>
      <c r="AR1885" s="1" t="s">
        <v>280</v>
      </c>
      <c r="AS1885" s="1"/>
      <c r="AT1885" s="2">
        <v>44269.931099537</v>
      </c>
    </row>
    <row r="1886" ht="13.5" customHeight="1">
      <c r="A1886" s="1">
        <v>2042751.0</v>
      </c>
      <c r="B1886" s="1" t="s">
        <v>67</v>
      </c>
      <c r="C1886" s="1" t="s">
        <v>68</v>
      </c>
      <c r="D1886" s="1" t="s">
        <v>46</v>
      </c>
      <c r="E1886" s="1" t="s">
        <v>7762</v>
      </c>
      <c r="F1886" s="1"/>
      <c r="G1886" s="1" t="s">
        <v>70</v>
      </c>
      <c r="H1886" s="1" t="s">
        <v>93</v>
      </c>
      <c r="I1886" s="1">
        <v>5250.0</v>
      </c>
      <c r="J1886" s="1"/>
      <c r="K1886" s="1"/>
      <c r="L1886" s="1" t="s">
        <v>898</v>
      </c>
      <c r="M1886" s="1" t="s">
        <v>7763</v>
      </c>
      <c r="N1886" s="1" t="s">
        <v>142</v>
      </c>
      <c r="O1886" s="1" t="s">
        <v>143</v>
      </c>
      <c r="P1886" s="2">
        <v>43759.7083333333</v>
      </c>
      <c r="Q1886" s="1" t="s">
        <v>373</v>
      </c>
      <c r="R1886" s="3">
        <v>43759.0</v>
      </c>
      <c r="S1886" s="1"/>
      <c r="T1886" s="1">
        <v>2208007.0</v>
      </c>
      <c r="U1886" s="1" t="s">
        <v>894</v>
      </c>
      <c r="V1886" s="1" t="s">
        <v>895</v>
      </c>
      <c r="W1886" s="1" t="s">
        <v>113</v>
      </c>
      <c r="X1886" s="1"/>
      <c r="Y1886" s="1" t="str">
        <f>"02020002871201973"</f>
        <v>02020002871201973</v>
      </c>
      <c r="Z1886" s="1" t="s">
        <v>147</v>
      </c>
      <c r="AA1886" s="1" t="s">
        <v>7764</v>
      </c>
      <c r="AB1886" s="1" t="str">
        <f>"***237928**"</f>
        <v>***237928**</v>
      </c>
      <c r="AC1886" s="1"/>
      <c r="AD1886" s="1" t="s">
        <v>116</v>
      </c>
      <c r="AE1886" s="1"/>
      <c r="AF1886" s="1">
        <v>-41.587778</v>
      </c>
      <c r="AG1886" s="1">
        <v>-7.013889</v>
      </c>
      <c r="AH1886" s="1" t="s">
        <v>7669</v>
      </c>
      <c r="AI1886" s="1"/>
      <c r="AJ1886" s="1" t="s">
        <v>898</v>
      </c>
      <c r="AK1886" s="1" t="s">
        <v>7765</v>
      </c>
      <c r="AL1886" s="1" t="s">
        <v>79</v>
      </c>
      <c r="AM1886" s="1" t="s">
        <v>65</v>
      </c>
      <c r="AN1886" s="1" t="s">
        <v>7428</v>
      </c>
      <c r="AO1886" s="2">
        <v>44216.0</v>
      </c>
      <c r="AP1886" s="2">
        <v>44216.6652430556</v>
      </c>
      <c r="AQ1886" s="1" t="s">
        <v>80</v>
      </c>
      <c r="AR1886" s="1" t="s">
        <v>7766</v>
      </c>
      <c r="AS1886" s="1"/>
      <c r="AT1886" s="2">
        <v>44269.931099537</v>
      </c>
    </row>
    <row r="1887" ht="13.5" customHeight="1">
      <c r="A1887" s="1">
        <v>2044274.0</v>
      </c>
      <c r="B1887" s="1" t="s">
        <v>67</v>
      </c>
      <c r="C1887" s="1" t="s">
        <v>68</v>
      </c>
      <c r="D1887" s="1" t="s">
        <v>46</v>
      </c>
      <c r="E1887" s="1" t="s">
        <v>7767</v>
      </c>
      <c r="F1887" s="1"/>
      <c r="G1887" s="1" t="s">
        <v>70</v>
      </c>
      <c r="H1887" s="1" t="s">
        <v>93</v>
      </c>
      <c r="I1887" s="1">
        <v>5000.0</v>
      </c>
      <c r="J1887" s="1"/>
      <c r="K1887" s="1"/>
      <c r="L1887" s="1" t="s">
        <v>731</v>
      </c>
      <c r="M1887" s="1" t="s">
        <v>7768</v>
      </c>
      <c r="N1887" s="1" t="s">
        <v>72</v>
      </c>
      <c r="O1887" s="1"/>
      <c r="P1887" s="2">
        <v>43759.6048611111</v>
      </c>
      <c r="Q1887" s="1" t="s">
        <v>373</v>
      </c>
      <c r="R1887" s="1"/>
      <c r="S1887" s="1"/>
      <c r="T1887" s="1">
        <v>2502607.0</v>
      </c>
      <c r="U1887" s="1" t="s">
        <v>5936</v>
      </c>
      <c r="V1887" s="1" t="s">
        <v>728</v>
      </c>
      <c r="W1887" s="1" t="s">
        <v>288</v>
      </c>
      <c r="X1887" s="1"/>
      <c r="Y1887" s="1" t="str">
        <f>"02016002009201920"</f>
        <v>02016002009201920</v>
      </c>
      <c r="Z1887" s="1" t="s">
        <v>215</v>
      </c>
      <c r="AA1887" s="1" t="s">
        <v>7769</v>
      </c>
      <c r="AB1887" s="1" t="str">
        <f>"12663179000146"</f>
        <v>12663179000146</v>
      </c>
      <c r="AC1887" s="1"/>
      <c r="AD1887" s="1" t="s">
        <v>116</v>
      </c>
      <c r="AE1887" s="1"/>
      <c r="AF1887" s="1">
        <v>-38.158611</v>
      </c>
      <c r="AG1887" s="1">
        <v>-7.179167</v>
      </c>
      <c r="AH1887" s="1" t="s">
        <v>7770</v>
      </c>
      <c r="AI1887" s="1"/>
      <c r="AJ1887" s="1"/>
      <c r="AK1887" s="1"/>
      <c r="AL1887" s="1" t="s">
        <v>118</v>
      </c>
      <c r="AM1887" s="1"/>
      <c r="AN1887" s="1"/>
      <c r="AO1887" s="2">
        <v>44266.7552893519</v>
      </c>
      <c r="AP1887" s="2">
        <v>44266.7553819444</v>
      </c>
      <c r="AQ1887" s="1" t="s">
        <v>80</v>
      </c>
      <c r="AR1887" s="1" t="s">
        <v>7771</v>
      </c>
      <c r="AS1887" s="1"/>
      <c r="AT1887" s="2">
        <v>44269.931099537</v>
      </c>
    </row>
    <row r="1888" ht="13.5" customHeight="1">
      <c r="A1888" s="1"/>
      <c r="B1888" s="1" t="s">
        <v>46</v>
      </c>
      <c r="C1888" s="1" t="s">
        <v>47</v>
      </c>
      <c r="D1888" s="1"/>
      <c r="E1888" s="1" t="s">
        <v>7772</v>
      </c>
      <c r="F1888" s="1"/>
      <c r="G1888" s="1"/>
      <c r="H1888" s="1" t="s">
        <v>93</v>
      </c>
      <c r="I1888" s="1">
        <v>1425000.0</v>
      </c>
      <c r="J1888" s="1"/>
      <c r="K1888" s="1"/>
      <c r="L1888" s="1"/>
      <c r="M1888" s="1" t="s">
        <v>7773</v>
      </c>
      <c r="N1888" s="1" t="s">
        <v>142</v>
      </c>
      <c r="O1888" s="1" t="s">
        <v>143</v>
      </c>
      <c r="P1888" s="2">
        <v>43759.5737384259</v>
      </c>
      <c r="Q1888" s="1" t="s">
        <v>74</v>
      </c>
      <c r="R1888" s="3">
        <v>43759.0</v>
      </c>
      <c r="S1888" s="1"/>
      <c r="T1888" s="1">
        <v>1200401.0</v>
      </c>
      <c r="U1888" s="1" t="s">
        <v>5366</v>
      </c>
      <c r="V1888" s="1" t="s">
        <v>498</v>
      </c>
      <c r="W1888" s="1" t="s">
        <v>177</v>
      </c>
      <c r="X1888" s="1"/>
      <c r="Y1888" s="1"/>
      <c r="Z1888" s="1" t="s">
        <v>147</v>
      </c>
      <c r="AA1888" s="1" t="s">
        <v>7774</v>
      </c>
      <c r="AB1888" s="1" t="str">
        <f>"***255442**"</f>
        <v>***255442**</v>
      </c>
      <c r="AC1888" s="1"/>
      <c r="AD1888" s="1" t="s">
        <v>2103</v>
      </c>
      <c r="AE1888" s="1"/>
      <c r="AF1888" s="1">
        <v>-68.760277</v>
      </c>
      <c r="AG1888" s="1">
        <v>-10.223611</v>
      </c>
      <c r="AH1888" s="1" t="s">
        <v>7775</v>
      </c>
      <c r="AI1888" s="1"/>
      <c r="AJ1888" s="1" t="s">
        <v>172</v>
      </c>
      <c r="AK1888" s="1"/>
      <c r="AL1888" s="1"/>
      <c r="AM1888" s="1" t="s">
        <v>65</v>
      </c>
      <c r="AN1888" s="1" t="s">
        <v>6258</v>
      </c>
      <c r="AO1888" s="1"/>
      <c r="AP1888" s="2">
        <v>43759.6319675926</v>
      </c>
      <c r="AQ1888" s="1"/>
      <c r="AR1888" s="1" t="s">
        <v>7325</v>
      </c>
      <c r="AS1888" s="1"/>
      <c r="AT1888" s="2">
        <v>44269.931099537</v>
      </c>
    </row>
    <row r="1889" ht="13.5" customHeight="1">
      <c r="A1889" s="1"/>
      <c r="B1889" s="1" t="s">
        <v>46</v>
      </c>
      <c r="C1889" s="1" t="s">
        <v>47</v>
      </c>
      <c r="D1889" s="1"/>
      <c r="E1889" s="1" t="s">
        <v>7776</v>
      </c>
      <c r="F1889" s="1"/>
      <c r="G1889" s="1"/>
      <c r="H1889" s="1" t="s">
        <v>93</v>
      </c>
      <c r="I1889" s="1">
        <v>610000.0</v>
      </c>
      <c r="J1889" s="1"/>
      <c r="K1889" s="1"/>
      <c r="L1889" s="1"/>
      <c r="M1889" s="1" t="s">
        <v>7777</v>
      </c>
      <c r="N1889" s="1" t="s">
        <v>142</v>
      </c>
      <c r="O1889" s="1" t="s">
        <v>143</v>
      </c>
      <c r="P1889" s="2">
        <v>43759.5441666667</v>
      </c>
      <c r="Q1889" s="1" t="s">
        <v>74</v>
      </c>
      <c r="R1889" s="1"/>
      <c r="S1889" s="1"/>
      <c r="T1889" s="1">
        <v>1500602.0</v>
      </c>
      <c r="U1889" s="1" t="s">
        <v>5135</v>
      </c>
      <c r="V1889" s="1" t="s">
        <v>193</v>
      </c>
      <c r="W1889" s="1" t="s">
        <v>177</v>
      </c>
      <c r="X1889" s="1"/>
      <c r="Y1889" s="1"/>
      <c r="Z1889" s="1" t="s">
        <v>147</v>
      </c>
      <c r="AA1889" s="1" t="s">
        <v>7778</v>
      </c>
      <c r="AB1889" s="1" t="str">
        <f>"***752471**"</f>
        <v>***752471**</v>
      </c>
      <c r="AC1889" s="1"/>
      <c r="AD1889" s="1" t="s">
        <v>116</v>
      </c>
      <c r="AE1889" s="1"/>
      <c r="AF1889" s="1">
        <v>-55.105556</v>
      </c>
      <c r="AG1889" s="1">
        <v>-8.3975</v>
      </c>
      <c r="AH1889" s="1" t="s">
        <v>7779</v>
      </c>
      <c r="AI1889" s="1"/>
      <c r="AJ1889" s="1" t="s">
        <v>172</v>
      </c>
      <c r="AK1889" s="1"/>
      <c r="AL1889" s="1"/>
      <c r="AM1889" s="1" t="s">
        <v>65</v>
      </c>
      <c r="AN1889" s="1" t="s">
        <v>6258</v>
      </c>
      <c r="AO1889" s="1"/>
      <c r="AP1889" s="2">
        <v>43759.5821296296</v>
      </c>
      <c r="AQ1889" s="1"/>
      <c r="AR1889" s="1" t="s">
        <v>644</v>
      </c>
      <c r="AS1889" s="1"/>
      <c r="AT1889" s="2">
        <v>44269.931099537</v>
      </c>
    </row>
    <row r="1890" ht="13.5" customHeight="1">
      <c r="A1890" s="1"/>
      <c r="B1890" s="1" t="s">
        <v>46</v>
      </c>
      <c r="C1890" s="1" t="s">
        <v>47</v>
      </c>
      <c r="D1890" s="1"/>
      <c r="E1890" s="1" t="s">
        <v>7780</v>
      </c>
      <c r="F1890" s="1"/>
      <c r="G1890" s="1" t="s">
        <v>49</v>
      </c>
      <c r="H1890" s="1" t="s">
        <v>50</v>
      </c>
      <c r="I1890" s="1">
        <v>1300.0</v>
      </c>
      <c r="J1890" s="1"/>
      <c r="K1890" s="1" t="s">
        <v>140</v>
      </c>
      <c r="L1890" s="1"/>
      <c r="M1890" s="1" t="s">
        <v>7781</v>
      </c>
      <c r="N1890" s="1" t="s">
        <v>53</v>
      </c>
      <c r="O1890" s="1" t="s">
        <v>54</v>
      </c>
      <c r="P1890" s="2">
        <v>43759.5029513889</v>
      </c>
      <c r="Q1890" s="1" t="s">
        <v>373</v>
      </c>
      <c r="R1890" s="1"/>
      <c r="S1890" s="1"/>
      <c r="T1890" s="1">
        <v>2933604.0</v>
      </c>
      <c r="U1890" s="1" t="s">
        <v>7243</v>
      </c>
      <c r="V1890" s="1" t="s">
        <v>632</v>
      </c>
      <c r="W1890" s="1" t="s">
        <v>113</v>
      </c>
      <c r="X1890" s="1"/>
      <c r="Y1890" s="1"/>
      <c r="Z1890" s="1" t="s">
        <v>60</v>
      </c>
      <c r="AA1890" s="1" t="s">
        <v>7782</v>
      </c>
      <c r="AB1890" s="1" t="str">
        <f>"***997965**"</f>
        <v>***997965**</v>
      </c>
      <c r="AC1890" s="1"/>
      <c r="AD1890" s="1" t="s">
        <v>149</v>
      </c>
      <c r="AE1890" s="1"/>
      <c r="AF1890" s="1">
        <v>-42.691113</v>
      </c>
      <c r="AG1890" s="1">
        <v>-10.754167</v>
      </c>
      <c r="AH1890" s="1" t="s">
        <v>7783</v>
      </c>
      <c r="AI1890" s="1"/>
      <c r="AJ1890" s="1" t="s">
        <v>628</v>
      </c>
      <c r="AK1890" s="1"/>
      <c r="AL1890" s="1"/>
      <c r="AM1890" s="1" t="s">
        <v>65</v>
      </c>
      <c r="AN1890" s="1" t="s">
        <v>152</v>
      </c>
      <c r="AO1890" s="1"/>
      <c r="AP1890" s="2">
        <v>44028.4818402778</v>
      </c>
      <c r="AQ1890" s="1"/>
      <c r="AR1890" s="1" t="s">
        <v>7784</v>
      </c>
      <c r="AS1890" s="1" t="s">
        <v>7785</v>
      </c>
      <c r="AT1890" s="2">
        <v>44269.931099537</v>
      </c>
    </row>
    <row r="1891" ht="13.5" customHeight="1">
      <c r="A1891" s="1">
        <v>2038349.0</v>
      </c>
      <c r="B1891" s="1" t="s">
        <v>67</v>
      </c>
      <c r="C1891" s="1" t="s">
        <v>68</v>
      </c>
      <c r="D1891" s="1" t="s">
        <v>46</v>
      </c>
      <c r="E1891" s="1" t="s">
        <v>7786</v>
      </c>
      <c r="F1891" s="1"/>
      <c r="G1891" s="1" t="s">
        <v>70</v>
      </c>
      <c r="H1891" s="1" t="s">
        <v>93</v>
      </c>
      <c r="I1891" s="1">
        <v>687075.0</v>
      </c>
      <c r="J1891" s="1"/>
      <c r="K1891" s="1"/>
      <c r="L1891" s="1" t="s">
        <v>172</v>
      </c>
      <c r="M1891" s="1" t="s">
        <v>7787</v>
      </c>
      <c r="N1891" s="1" t="s">
        <v>142</v>
      </c>
      <c r="O1891" s="1" t="s">
        <v>143</v>
      </c>
      <c r="P1891" s="2">
        <v>43759.5</v>
      </c>
      <c r="Q1891" s="1" t="s">
        <v>373</v>
      </c>
      <c r="R1891" s="3">
        <v>43759.0</v>
      </c>
      <c r="S1891" s="1"/>
      <c r="T1891" s="1">
        <v>1302405.0</v>
      </c>
      <c r="U1891" s="1" t="s">
        <v>2258</v>
      </c>
      <c r="V1891" s="1" t="s">
        <v>486</v>
      </c>
      <c r="W1891" s="1" t="s">
        <v>177</v>
      </c>
      <c r="X1891" s="1"/>
      <c r="Y1891" s="1"/>
      <c r="Z1891" s="1" t="s">
        <v>147</v>
      </c>
      <c r="AA1891" s="1" t="s">
        <v>7788</v>
      </c>
      <c r="AB1891" s="1" t="str">
        <f>"***271722**"</f>
        <v>***271722**</v>
      </c>
      <c r="AC1891" s="1"/>
      <c r="AD1891" s="1"/>
      <c r="AE1891" s="1"/>
      <c r="AF1891" s="1">
        <v>-65.573891</v>
      </c>
      <c r="AG1891" s="1">
        <v>-9.260834</v>
      </c>
      <c r="AH1891" s="1" t="s">
        <v>7789</v>
      </c>
      <c r="AI1891" s="1"/>
      <c r="AJ1891" s="1" t="s">
        <v>172</v>
      </c>
      <c r="AK1891" s="1"/>
      <c r="AL1891" s="1" t="s">
        <v>79</v>
      </c>
      <c r="AM1891" s="1" t="s">
        <v>65</v>
      </c>
      <c r="AN1891" s="1" t="s">
        <v>6258</v>
      </c>
      <c r="AO1891" s="2">
        <v>44032.0</v>
      </c>
      <c r="AP1891" s="2">
        <v>44032.4258796296</v>
      </c>
      <c r="AQ1891" s="1" t="s">
        <v>80</v>
      </c>
      <c r="AR1891" s="1" t="s">
        <v>650</v>
      </c>
      <c r="AS1891" s="1"/>
      <c r="AT1891" s="2">
        <v>44269.931099537</v>
      </c>
    </row>
    <row r="1892" ht="13.5" customHeight="1">
      <c r="A1892" s="1"/>
      <c r="B1892" s="1" t="s">
        <v>46</v>
      </c>
      <c r="C1892" s="1" t="s">
        <v>47</v>
      </c>
      <c r="D1892" s="1"/>
      <c r="E1892" s="1" t="s">
        <v>7790</v>
      </c>
      <c r="F1892" s="1"/>
      <c r="G1892" s="1"/>
      <c r="H1892" s="1" t="s">
        <v>93</v>
      </c>
      <c r="I1892" s="1">
        <v>10000.0</v>
      </c>
      <c r="J1892" s="1"/>
      <c r="K1892" s="1"/>
      <c r="L1892" s="1"/>
      <c r="M1892" s="1" t="s">
        <v>7791</v>
      </c>
      <c r="N1892" s="1" t="s">
        <v>142</v>
      </c>
      <c r="O1892" s="1" t="s">
        <v>143</v>
      </c>
      <c r="P1892" s="2">
        <v>43759.4873726852</v>
      </c>
      <c r="Q1892" s="1" t="s">
        <v>373</v>
      </c>
      <c r="R1892" s="1"/>
      <c r="S1892" s="1"/>
      <c r="T1892" s="1">
        <v>2913606.0</v>
      </c>
      <c r="U1892" s="1" t="s">
        <v>7792</v>
      </c>
      <c r="V1892" s="1" t="s">
        <v>632</v>
      </c>
      <c r="W1892" s="1" t="s">
        <v>59</v>
      </c>
      <c r="X1892" s="1"/>
      <c r="Y1892" s="1"/>
      <c r="Z1892" s="1" t="s">
        <v>147</v>
      </c>
      <c r="AA1892" s="1" t="s">
        <v>7793</v>
      </c>
      <c r="AB1892" s="1" t="str">
        <f>"***333333**"</f>
        <v>***333333**</v>
      </c>
      <c r="AC1892" s="1">
        <v>32.0</v>
      </c>
      <c r="AD1892" s="1" t="s">
        <v>116</v>
      </c>
      <c r="AE1892" s="1"/>
      <c r="AF1892" s="1">
        <v>-39.036945</v>
      </c>
      <c r="AG1892" s="1">
        <v>-14.797778</v>
      </c>
      <c r="AH1892" s="1" t="s">
        <v>7794</v>
      </c>
      <c r="AI1892" s="1"/>
      <c r="AJ1892" s="1" t="s">
        <v>7795</v>
      </c>
      <c r="AK1892" s="1"/>
      <c r="AL1892" s="1"/>
      <c r="AM1892" s="1" t="s">
        <v>65</v>
      </c>
      <c r="AN1892" s="1" t="s">
        <v>7796</v>
      </c>
      <c r="AO1892" s="1"/>
      <c r="AP1892" s="2">
        <v>43759.4996296296</v>
      </c>
      <c r="AQ1892" s="1"/>
      <c r="AR1892" s="1" t="s">
        <v>1746</v>
      </c>
      <c r="AS1892" s="1"/>
      <c r="AT1892" s="2">
        <v>44269.931099537</v>
      </c>
    </row>
    <row r="1893" ht="13.5" customHeight="1">
      <c r="A1893" s="1"/>
      <c r="B1893" s="1" t="s">
        <v>46</v>
      </c>
      <c r="C1893" s="1" t="s">
        <v>47</v>
      </c>
      <c r="D1893" s="1"/>
      <c r="E1893" s="1" t="s">
        <v>7797</v>
      </c>
      <c r="F1893" s="1"/>
      <c r="G1893" s="1" t="s">
        <v>49</v>
      </c>
      <c r="H1893" s="1" t="s">
        <v>50</v>
      </c>
      <c r="I1893" s="1">
        <v>130.0</v>
      </c>
      <c r="J1893" s="1"/>
      <c r="K1893" s="1" t="s">
        <v>140</v>
      </c>
      <c r="L1893" s="1"/>
      <c r="M1893" s="1" t="s">
        <v>7798</v>
      </c>
      <c r="N1893" s="1" t="s">
        <v>53</v>
      </c>
      <c r="O1893" s="1" t="s">
        <v>54</v>
      </c>
      <c r="P1893" s="2">
        <v>43759.461400463</v>
      </c>
      <c r="Q1893" s="1" t="s">
        <v>373</v>
      </c>
      <c r="R1893" s="1"/>
      <c r="S1893" s="1"/>
      <c r="T1893" s="1">
        <v>2933604.0</v>
      </c>
      <c r="U1893" s="1" t="s">
        <v>7243</v>
      </c>
      <c r="V1893" s="1" t="s">
        <v>632</v>
      </c>
      <c r="W1893" s="1" t="s">
        <v>113</v>
      </c>
      <c r="X1893" s="1"/>
      <c r="Y1893" s="1"/>
      <c r="Z1893" s="1" t="s">
        <v>60</v>
      </c>
      <c r="AA1893" s="1" t="s">
        <v>7782</v>
      </c>
      <c r="AB1893" s="1" t="str">
        <f>"***997965**"</f>
        <v>***997965**</v>
      </c>
      <c r="AC1893" s="1"/>
      <c r="AD1893" s="1" t="s">
        <v>149</v>
      </c>
      <c r="AE1893" s="1"/>
      <c r="AF1893" s="1">
        <v>-42.691113</v>
      </c>
      <c r="AG1893" s="1">
        <v>-10.754167</v>
      </c>
      <c r="AH1893" s="1" t="s">
        <v>7783</v>
      </c>
      <c r="AI1893" s="1"/>
      <c r="AJ1893" s="1" t="s">
        <v>628</v>
      </c>
      <c r="AK1893" s="1"/>
      <c r="AL1893" s="1"/>
      <c r="AM1893" s="1" t="s">
        <v>65</v>
      </c>
      <c r="AN1893" s="1" t="s">
        <v>152</v>
      </c>
      <c r="AO1893" s="1"/>
      <c r="AP1893" s="2">
        <v>44028.4817361111</v>
      </c>
      <c r="AQ1893" s="1"/>
      <c r="AR1893" s="1" t="s">
        <v>7784</v>
      </c>
      <c r="AS1893" s="1" t="s">
        <v>7799</v>
      </c>
      <c r="AT1893" s="2">
        <v>44269.931099537</v>
      </c>
    </row>
    <row r="1894" ht="13.5" customHeight="1">
      <c r="A1894" s="1">
        <v>2038850.0</v>
      </c>
      <c r="B1894" s="1" t="s">
        <v>67</v>
      </c>
      <c r="C1894" s="1" t="s">
        <v>68</v>
      </c>
      <c r="D1894" s="1" t="s">
        <v>46</v>
      </c>
      <c r="E1894" s="1" t="s">
        <v>7800</v>
      </c>
      <c r="F1894" s="1"/>
      <c r="G1894" s="1" t="s">
        <v>70</v>
      </c>
      <c r="H1894" s="1" t="s">
        <v>93</v>
      </c>
      <c r="I1894" s="1">
        <v>710000.0</v>
      </c>
      <c r="J1894" s="1"/>
      <c r="K1894" s="1"/>
      <c r="L1894" s="1" t="s">
        <v>172</v>
      </c>
      <c r="M1894" s="1" t="s">
        <v>7801</v>
      </c>
      <c r="N1894" s="1" t="s">
        <v>142</v>
      </c>
      <c r="O1894" s="1" t="s">
        <v>143</v>
      </c>
      <c r="P1894" s="2">
        <v>43759.4583333333</v>
      </c>
      <c r="Q1894" s="1" t="s">
        <v>373</v>
      </c>
      <c r="R1894" s="3">
        <v>43759.0</v>
      </c>
      <c r="S1894" s="1"/>
      <c r="T1894" s="1">
        <v>1505031.0</v>
      </c>
      <c r="U1894" s="1" t="s">
        <v>5123</v>
      </c>
      <c r="V1894" s="1" t="s">
        <v>193</v>
      </c>
      <c r="W1894" s="1" t="s">
        <v>177</v>
      </c>
      <c r="X1894" s="1"/>
      <c r="Y1894" s="1" t="str">
        <f>"02001017767202045"</f>
        <v>02001017767202045</v>
      </c>
      <c r="Z1894" s="1" t="s">
        <v>147</v>
      </c>
      <c r="AA1894" s="1" t="s">
        <v>7802</v>
      </c>
      <c r="AB1894" s="1" t="str">
        <f>"***117582**"</f>
        <v>***117582**</v>
      </c>
      <c r="AC1894" s="1"/>
      <c r="AD1894" s="1"/>
      <c r="AE1894" s="1"/>
      <c r="AF1894" s="1">
        <v>-55.395554</v>
      </c>
      <c r="AG1894" s="1">
        <v>-7.058611</v>
      </c>
      <c r="AH1894" s="1" t="s">
        <v>7803</v>
      </c>
      <c r="AI1894" s="1"/>
      <c r="AJ1894" s="1" t="s">
        <v>172</v>
      </c>
      <c r="AK1894" s="1"/>
      <c r="AL1894" s="1" t="s">
        <v>79</v>
      </c>
      <c r="AM1894" s="1" t="s">
        <v>65</v>
      </c>
      <c r="AN1894" s="1" t="s">
        <v>6258</v>
      </c>
      <c r="AO1894" s="2">
        <v>44047.0</v>
      </c>
      <c r="AP1894" s="2">
        <v>44047.3551273148</v>
      </c>
      <c r="AQ1894" s="1" t="s">
        <v>80</v>
      </c>
      <c r="AR1894" s="1" t="s">
        <v>650</v>
      </c>
      <c r="AS1894" s="1"/>
      <c r="AT1894" s="2">
        <v>44269.931099537</v>
      </c>
    </row>
    <row r="1895" ht="13.5" customHeight="1">
      <c r="A1895" s="1">
        <v>2039965.0</v>
      </c>
      <c r="B1895" s="1" t="s">
        <v>67</v>
      </c>
      <c r="C1895" s="1" t="s">
        <v>68</v>
      </c>
      <c r="D1895" s="1" t="s">
        <v>46</v>
      </c>
      <c r="E1895" s="1" t="s">
        <v>7804</v>
      </c>
      <c r="F1895" s="1"/>
      <c r="G1895" s="1" t="s">
        <v>70</v>
      </c>
      <c r="H1895" s="1" t="s">
        <v>93</v>
      </c>
      <c r="I1895" s="1">
        <v>1809.9</v>
      </c>
      <c r="J1895" s="1"/>
      <c r="K1895" s="1"/>
      <c r="L1895" s="1" t="s">
        <v>533</v>
      </c>
      <c r="M1895" s="1" t="s">
        <v>7805</v>
      </c>
      <c r="N1895" s="1" t="s">
        <v>142</v>
      </c>
      <c r="O1895" s="1" t="s">
        <v>143</v>
      </c>
      <c r="P1895" s="2">
        <v>43759.4583333333</v>
      </c>
      <c r="Q1895" s="1" t="s">
        <v>373</v>
      </c>
      <c r="R1895" s="3">
        <v>43759.0</v>
      </c>
      <c r="S1895" s="1"/>
      <c r="T1895" s="1">
        <v>5003702.0</v>
      </c>
      <c r="U1895" s="1" t="s">
        <v>3229</v>
      </c>
      <c r="V1895" s="1" t="s">
        <v>529</v>
      </c>
      <c r="W1895" s="1" t="s">
        <v>127</v>
      </c>
      <c r="X1895" s="1"/>
      <c r="Y1895" s="1" t="str">
        <f>"02014003235201948"</f>
        <v>02014003235201948</v>
      </c>
      <c r="Z1895" s="1" t="s">
        <v>147</v>
      </c>
      <c r="AA1895" s="1" t="s">
        <v>7806</v>
      </c>
      <c r="AB1895" s="1" t="str">
        <f>"***648221**"</f>
        <v>***648221**</v>
      </c>
      <c r="AC1895" s="1"/>
      <c r="AD1895" s="1"/>
      <c r="AE1895" s="1"/>
      <c r="AF1895" s="1">
        <v>-54.490555</v>
      </c>
      <c r="AG1895" s="1">
        <v>-22.142221</v>
      </c>
      <c r="AH1895" s="1" t="s">
        <v>7807</v>
      </c>
      <c r="AI1895" s="1"/>
      <c r="AJ1895" s="1" t="s">
        <v>533</v>
      </c>
      <c r="AK1895" s="1"/>
      <c r="AL1895" s="1" t="s">
        <v>79</v>
      </c>
      <c r="AM1895" s="1" t="s">
        <v>65</v>
      </c>
      <c r="AN1895" s="1" t="s">
        <v>534</v>
      </c>
      <c r="AO1895" s="2">
        <v>44078.0</v>
      </c>
      <c r="AP1895" s="2">
        <v>44078.7739583333</v>
      </c>
      <c r="AQ1895" s="1" t="s">
        <v>80</v>
      </c>
      <c r="AR1895" s="1" t="s">
        <v>181</v>
      </c>
      <c r="AS1895" s="1"/>
      <c r="AT1895" s="2">
        <v>44269.931099537</v>
      </c>
    </row>
    <row r="1896" ht="13.5" customHeight="1">
      <c r="A1896" s="1"/>
      <c r="B1896" s="1" t="s">
        <v>46</v>
      </c>
      <c r="C1896" s="1" t="s">
        <v>47</v>
      </c>
      <c r="D1896" s="1"/>
      <c r="E1896" s="1" t="s">
        <v>7808</v>
      </c>
      <c r="F1896" s="1"/>
      <c r="G1896" s="1" t="s">
        <v>49</v>
      </c>
      <c r="H1896" s="1" t="s">
        <v>50</v>
      </c>
      <c r="I1896" s="1">
        <v>880.0</v>
      </c>
      <c r="J1896" s="1"/>
      <c r="K1896" s="1" t="s">
        <v>51</v>
      </c>
      <c r="L1896" s="1"/>
      <c r="M1896" s="1" t="s">
        <v>7809</v>
      </c>
      <c r="N1896" s="1" t="s">
        <v>53</v>
      </c>
      <c r="O1896" s="1" t="s">
        <v>54</v>
      </c>
      <c r="P1896" s="2">
        <v>43759.4499305556</v>
      </c>
      <c r="Q1896" s="1" t="s">
        <v>373</v>
      </c>
      <c r="R1896" s="1"/>
      <c r="S1896" s="1"/>
      <c r="T1896" s="1">
        <v>5103106.0</v>
      </c>
      <c r="U1896" s="1" t="s">
        <v>5471</v>
      </c>
      <c r="V1896" s="1" t="s">
        <v>164</v>
      </c>
      <c r="W1896" s="1" t="s">
        <v>177</v>
      </c>
      <c r="X1896" s="1"/>
      <c r="Y1896" s="1"/>
      <c r="Z1896" s="1" t="s">
        <v>60</v>
      </c>
      <c r="AA1896" s="1" t="s">
        <v>7810</v>
      </c>
      <c r="AB1896" s="1" t="str">
        <f>"***798721**"</f>
        <v>***798721**</v>
      </c>
      <c r="AC1896" s="1"/>
      <c r="AD1896" s="1" t="s">
        <v>149</v>
      </c>
      <c r="AE1896" s="1"/>
      <c r="AF1896" s="1">
        <v>-50.912502</v>
      </c>
      <c r="AG1896" s="1">
        <v>-24.168055</v>
      </c>
      <c r="AH1896" s="1" t="s">
        <v>7811</v>
      </c>
      <c r="AI1896" s="1"/>
      <c r="AJ1896" s="1" t="s">
        <v>371</v>
      </c>
      <c r="AK1896" s="1"/>
      <c r="AL1896" s="1"/>
      <c r="AM1896" s="1" t="s">
        <v>65</v>
      </c>
      <c r="AN1896" s="1" t="s">
        <v>7105</v>
      </c>
      <c r="AO1896" s="1"/>
      <c r="AP1896" s="2">
        <v>44166.5821180556</v>
      </c>
      <c r="AQ1896" s="1"/>
      <c r="AR1896" s="1" t="s">
        <v>1675</v>
      </c>
      <c r="AS1896" s="1"/>
      <c r="AT1896" s="2">
        <v>44269.931099537</v>
      </c>
    </row>
    <row r="1897" ht="13.5" customHeight="1">
      <c r="A1897" s="1"/>
      <c r="B1897" s="1" t="s">
        <v>46</v>
      </c>
      <c r="C1897" s="1" t="s">
        <v>47</v>
      </c>
      <c r="D1897" s="1"/>
      <c r="E1897" s="1" t="s">
        <v>7812</v>
      </c>
      <c r="F1897" s="1"/>
      <c r="G1897" s="1"/>
      <c r="H1897" s="1" t="s">
        <v>93</v>
      </c>
      <c r="I1897" s="1">
        <v>27500.0</v>
      </c>
      <c r="J1897" s="1"/>
      <c r="K1897" s="1"/>
      <c r="L1897" s="1"/>
      <c r="M1897" s="1"/>
      <c r="N1897" s="1" t="s">
        <v>142</v>
      </c>
      <c r="O1897" s="1" t="s">
        <v>143</v>
      </c>
      <c r="P1897" s="2">
        <v>43759.3848842593</v>
      </c>
      <c r="Q1897" s="1" t="s">
        <v>373</v>
      </c>
      <c r="R1897" s="1"/>
      <c r="S1897" s="1"/>
      <c r="T1897" s="1">
        <v>3304300.0</v>
      </c>
      <c r="U1897" s="1" t="s">
        <v>7813</v>
      </c>
      <c r="V1897" s="1" t="s">
        <v>287</v>
      </c>
      <c r="W1897" s="1" t="s">
        <v>59</v>
      </c>
      <c r="X1897" s="1"/>
      <c r="Y1897" s="1"/>
      <c r="Z1897" s="1" t="s">
        <v>147</v>
      </c>
      <c r="AA1897" s="1" t="s">
        <v>7814</v>
      </c>
      <c r="AB1897" s="1" t="str">
        <f>"***896757**"</f>
        <v>***896757**</v>
      </c>
      <c r="AC1897" s="1"/>
      <c r="AD1897" s="1" t="s">
        <v>116</v>
      </c>
      <c r="AE1897" s="1"/>
      <c r="AF1897" s="1">
        <v>-42.627777</v>
      </c>
      <c r="AG1897" s="1">
        <v>-22.756666</v>
      </c>
      <c r="AH1897" s="1" t="s">
        <v>7815</v>
      </c>
      <c r="AI1897" s="1"/>
      <c r="AJ1897" s="1" t="s">
        <v>291</v>
      </c>
      <c r="AK1897" s="1"/>
      <c r="AL1897" s="1"/>
      <c r="AM1897" s="1" t="s">
        <v>65</v>
      </c>
      <c r="AN1897" s="1" t="s">
        <v>7816</v>
      </c>
      <c r="AO1897" s="1"/>
      <c r="AP1897" s="2">
        <v>43759.4306712963</v>
      </c>
      <c r="AQ1897" s="1"/>
      <c r="AR1897" s="1" t="s">
        <v>169</v>
      </c>
      <c r="AS1897" s="1"/>
      <c r="AT1897" s="2">
        <v>44269.931099537</v>
      </c>
    </row>
    <row r="1898" ht="13.5" customHeight="1">
      <c r="A1898" s="1"/>
      <c r="B1898" s="1" t="s">
        <v>46</v>
      </c>
      <c r="C1898" s="1" t="s">
        <v>47</v>
      </c>
      <c r="D1898" s="1"/>
      <c r="E1898" s="1" t="s">
        <v>7817</v>
      </c>
      <c r="F1898" s="1"/>
      <c r="G1898" s="1" t="s">
        <v>49</v>
      </c>
      <c r="H1898" s="1" t="s">
        <v>93</v>
      </c>
      <c r="I1898" s="1">
        <v>310500.0</v>
      </c>
      <c r="J1898" s="1"/>
      <c r="K1898" s="1" t="s">
        <v>140</v>
      </c>
      <c r="L1898" s="1"/>
      <c r="M1898" s="1" t="s">
        <v>7818</v>
      </c>
      <c r="N1898" s="1" t="s">
        <v>212</v>
      </c>
      <c r="O1898" s="1" t="s">
        <v>213</v>
      </c>
      <c r="P1898" s="2">
        <v>43759.3815740741</v>
      </c>
      <c r="Q1898" s="1" t="s">
        <v>55</v>
      </c>
      <c r="R1898" s="1"/>
      <c r="S1898" s="1"/>
      <c r="T1898" s="1">
        <v>1600501.0</v>
      </c>
      <c r="U1898" s="1" t="s">
        <v>1005</v>
      </c>
      <c r="V1898" s="1" t="s">
        <v>797</v>
      </c>
      <c r="W1898" s="1" t="s">
        <v>177</v>
      </c>
      <c r="X1898" s="1"/>
      <c r="Y1898" s="1"/>
      <c r="Z1898" s="1" t="s">
        <v>215</v>
      </c>
      <c r="AA1898" s="1" t="s">
        <v>7819</v>
      </c>
      <c r="AB1898" s="1" t="str">
        <f>"10597247000190"</f>
        <v>10597247000190</v>
      </c>
      <c r="AC1898" s="1"/>
      <c r="AD1898" s="1" t="s">
        <v>149</v>
      </c>
      <c r="AE1898" s="1"/>
      <c r="AF1898" s="1">
        <v>-51.923611</v>
      </c>
      <c r="AG1898" s="1">
        <v>3.393333</v>
      </c>
      <c r="AH1898" s="1" t="s">
        <v>7820</v>
      </c>
      <c r="AI1898" s="1"/>
      <c r="AJ1898" s="1" t="s">
        <v>800</v>
      </c>
      <c r="AK1898" s="1"/>
      <c r="AL1898" s="1"/>
      <c r="AM1898" s="1" t="s">
        <v>65</v>
      </c>
      <c r="AN1898" s="1" t="s">
        <v>7415</v>
      </c>
      <c r="AO1898" s="1"/>
      <c r="AP1898" s="2">
        <v>43761.6716319444</v>
      </c>
      <c r="AQ1898" s="1"/>
      <c r="AR1898" s="1" t="s">
        <v>7821</v>
      </c>
      <c r="AS1898" s="1" t="s">
        <v>7822</v>
      </c>
      <c r="AT1898" s="2">
        <v>44269.931099537</v>
      </c>
    </row>
    <row r="1899" ht="13.5" customHeight="1">
      <c r="A1899" s="1">
        <v>2035681.0</v>
      </c>
      <c r="B1899" s="1" t="s">
        <v>67</v>
      </c>
      <c r="C1899" s="1" t="s">
        <v>68</v>
      </c>
      <c r="D1899" s="1" t="s">
        <v>46</v>
      </c>
      <c r="E1899" s="1" t="s">
        <v>7823</v>
      </c>
      <c r="F1899" s="1"/>
      <c r="G1899" s="1" t="s">
        <v>70</v>
      </c>
      <c r="H1899" s="1" t="s">
        <v>93</v>
      </c>
      <c r="I1899" s="1">
        <v>1425000.0</v>
      </c>
      <c r="J1899" s="1"/>
      <c r="K1899" s="1"/>
      <c r="L1899" s="1" t="s">
        <v>65</v>
      </c>
      <c r="M1899" s="1" t="s">
        <v>7824</v>
      </c>
      <c r="N1899" s="1" t="s">
        <v>142</v>
      </c>
      <c r="O1899" s="1" t="s">
        <v>143</v>
      </c>
      <c r="P1899" s="2">
        <v>43759.375</v>
      </c>
      <c r="Q1899" s="1" t="s">
        <v>74</v>
      </c>
      <c r="R1899" s="3">
        <v>43748.0</v>
      </c>
      <c r="S1899" s="1"/>
      <c r="T1899" s="1">
        <v>1200401.0</v>
      </c>
      <c r="U1899" s="1" t="s">
        <v>5366</v>
      </c>
      <c r="V1899" s="1" t="s">
        <v>498</v>
      </c>
      <c r="W1899" s="1" t="s">
        <v>177</v>
      </c>
      <c r="X1899" s="1"/>
      <c r="Y1899" s="1" t="str">
        <f>"02001008236202061"</f>
        <v>02001008236202061</v>
      </c>
      <c r="Z1899" s="1" t="s">
        <v>147</v>
      </c>
      <c r="AA1899" s="1" t="s">
        <v>7774</v>
      </c>
      <c r="AB1899" s="1" t="str">
        <f>"***255442**"</f>
        <v>***255442**</v>
      </c>
      <c r="AC1899" s="1">
        <v>189.8</v>
      </c>
      <c r="AD1899" s="1" t="s">
        <v>116</v>
      </c>
      <c r="AE1899" s="1"/>
      <c r="AF1899" s="1">
        <v>-68.760278</v>
      </c>
      <c r="AG1899" s="1">
        <v>-10.223611</v>
      </c>
      <c r="AH1899" s="1" t="s">
        <v>7775</v>
      </c>
      <c r="AI1899" s="1"/>
      <c r="AJ1899" s="1" t="s">
        <v>172</v>
      </c>
      <c r="AK1899" s="1" t="s">
        <v>180</v>
      </c>
      <c r="AL1899" s="1" t="s">
        <v>79</v>
      </c>
      <c r="AM1899" s="1" t="s">
        <v>65</v>
      </c>
      <c r="AN1899" s="1" t="s">
        <v>6258</v>
      </c>
      <c r="AO1899" s="2">
        <v>43913.0</v>
      </c>
      <c r="AP1899" s="2">
        <v>44120.6352083333</v>
      </c>
      <c r="AQ1899" s="1" t="s">
        <v>80</v>
      </c>
      <c r="AR1899" s="1" t="s">
        <v>7825</v>
      </c>
      <c r="AS1899" s="1"/>
      <c r="AT1899" s="2">
        <v>44269.931099537</v>
      </c>
    </row>
    <row r="1900" ht="13.5" customHeight="1">
      <c r="A1900" s="1">
        <v>2040235.0</v>
      </c>
      <c r="B1900" s="1" t="s">
        <v>67</v>
      </c>
      <c r="C1900" s="1" t="s">
        <v>68</v>
      </c>
      <c r="D1900" s="1" t="s">
        <v>46</v>
      </c>
      <c r="E1900" s="1" t="s">
        <v>7826</v>
      </c>
      <c r="F1900" s="1"/>
      <c r="G1900" s="1" t="s">
        <v>70</v>
      </c>
      <c r="H1900" s="1" t="s">
        <v>93</v>
      </c>
      <c r="I1900" s="1">
        <v>6641.25</v>
      </c>
      <c r="J1900" s="1"/>
      <c r="K1900" s="1"/>
      <c r="L1900" s="1" t="s">
        <v>371</v>
      </c>
      <c r="M1900" s="1" t="s">
        <v>7827</v>
      </c>
      <c r="N1900" s="1" t="s">
        <v>142</v>
      </c>
      <c r="O1900" s="1" t="s">
        <v>143</v>
      </c>
      <c r="P1900" s="2">
        <v>43759.375</v>
      </c>
      <c r="Q1900" s="1" t="s">
        <v>373</v>
      </c>
      <c r="R1900" s="3">
        <v>43759.0</v>
      </c>
      <c r="S1900" s="1"/>
      <c r="T1900" s="1">
        <v>5218003.0</v>
      </c>
      <c r="U1900" s="1" t="s">
        <v>3709</v>
      </c>
      <c r="V1900" s="1" t="s">
        <v>375</v>
      </c>
      <c r="W1900" s="1" t="s">
        <v>177</v>
      </c>
      <c r="X1900" s="1"/>
      <c r="Y1900" s="1" t="str">
        <f>"02010004057201911"</f>
        <v>02010004057201911</v>
      </c>
      <c r="Z1900" s="1" t="s">
        <v>147</v>
      </c>
      <c r="AA1900" s="1" t="s">
        <v>7828</v>
      </c>
      <c r="AB1900" s="1" t="str">
        <f>"***650381**"</f>
        <v>***650381**</v>
      </c>
      <c r="AC1900" s="1"/>
      <c r="AD1900" s="1"/>
      <c r="AE1900" s="1"/>
      <c r="AF1900" s="1">
        <v>-49.131386</v>
      </c>
      <c r="AG1900" s="1">
        <v>-13.406388</v>
      </c>
      <c r="AH1900" s="1" t="s">
        <v>7829</v>
      </c>
      <c r="AI1900" s="1"/>
      <c r="AJ1900" s="1" t="s">
        <v>371</v>
      </c>
      <c r="AK1900" s="1"/>
      <c r="AL1900" s="1" t="s">
        <v>79</v>
      </c>
      <c r="AM1900" s="1" t="s">
        <v>65</v>
      </c>
      <c r="AN1900" s="1" t="s">
        <v>6461</v>
      </c>
      <c r="AO1900" s="2">
        <v>44118.0</v>
      </c>
      <c r="AP1900" s="2">
        <v>44118.4156365741</v>
      </c>
      <c r="AQ1900" s="1" t="s">
        <v>80</v>
      </c>
      <c r="AR1900" s="1" t="s">
        <v>7830</v>
      </c>
      <c r="AS1900" s="1"/>
      <c r="AT1900" s="2">
        <v>44269.931099537</v>
      </c>
    </row>
    <row r="1901" ht="13.5" customHeight="1">
      <c r="A1901" s="1">
        <v>2043466.0</v>
      </c>
      <c r="B1901" s="1" t="s">
        <v>67</v>
      </c>
      <c r="C1901" s="1" t="s">
        <v>68</v>
      </c>
      <c r="D1901" s="1" t="s">
        <v>46</v>
      </c>
      <c r="E1901" s="1" t="s">
        <v>7831</v>
      </c>
      <c r="F1901" s="1"/>
      <c r="G1901" s="1" t="s">
        <v>70</v>
      </c>
      <c r="H1901" s="1" t="s">
        <v>93</v>
      </c>
      <c r="I1901" s="1">
        <v>4300.0</v>
      </c>
      <c r="J1901" s="1"/>
      <c r="K1901" s="1"/>
      <c r="L1901" s="1" t="s">
        <v>7715</v>
      </c>
      <c r="M1901" s="1" t="s">
        <v>7832</v>
      </c>
      <c r="N1901" s="1" t="s">
        <v>53</v>
      </c>
      <c r="O1901" s="1" t="s">
        <v>54</v>
      </c>
      <c r="P1901" s="2">
        <v>43759.375</v>
      </c>
      <c r="Q1901" s="1" t="s">
        <v>55</v>
      </c>
      <c r="R1901" s="1"/>
      <c r="S1901" s="1"/>
      <c r="T1901" s="1">
        <v>3205200.0</v>
      </c>
      <c r="U1901" s="1" t="s">
        <v>478</v>
      </c>
      <c r="V1901" s="1" t="s">
        <v>403</v>
      </c>
      <c r="W1901" s="1" t="s">
        <v>288</v>
      </c>
      <c r="X1901" s="1"/>
      <c r="Y1901" s="1"/>
      <c r="Z1901" s="1" t="s">
        <v>60</v>
      </c>
      <c r="AA1901" s="1" t="s">
        <v>7833</v>
      </c>
      <c r="AB1901" s="1" t="str">
        <f t="shared" ref="AB1901:AB1902" si="120">"***334447**"</f>
        <v>***334447**</v>
      </c>
      <c r="AC1901" s="1"/>
      <c r="AD1901" s="1"/>
      <c r="AE1901" s="1"/>
      <c r="AF1901" s="1">
        <v>-47.861944</v>
      </c>
      <c r="AG1901" s="1">
        <v>-15.767222</v>
      </c>
      <c r="AH1901" s="1" t="s">
        <v>7834</v>
      </c>
      <c r="AI1901" s="1"/>
      <c r="AJ1901" s="1" t="s">
        <v>7715</v>
      </c>
      <c r="AK1901" s="1"/>
      <c r="AL1901" s="1" t="s">
        <v>79</v>
      </c>
      <c r="AM1901" s="1" t="s">
        <v>65</v>
      </c>
      <c r="AN1901" s="1" t="s">
        <v>6765</v>
      </c>
      <c r="AO1901" s="2">
        <v>44239.0</v>
      </c>
      <c r="AP1901" s="2">
        <v>44239.5699074074</v>
      </c>
      <c r="AQ1901" s="1" t="s">
        <v>80</v>
      </c>
      <c r="AR1901" s="1" t="s">
        <v>3772</v>
      </c>
      <c r="AS1901" s="1" t="s">
        <v>7835</v>
      </c>
      <c r="AT1901" s="2">
        <v>44269.931099537</v>
      </c>
    </row>
    <row r="1902" ht="13.5" customHeight="1">
      <c r="A1902" s="1">
        <v>2043465.0</v>
      </c>
      <c r="B1902" s="1" t="s">
        <v>67</v>
      </c>
      <c r="C1902" s="1" t="s">
        <v>68</v>
      </c>
      <c r="D1902" s="1" t="s">
        <v>46</v>
      </c>
      <c r="E1902" s="1" t="s">
        <v>7836</v>
      </c>
      <c r="F1902" s="1"/>
      <c r="G1902" s="1" t="s">
        <v>70</v>
      </c>
      <c r="H1902" s="1" t="s">
        <v>50</v>
      </c>
      <c r="I1902" s="1">
        <v>5600.0</v>
      </c>
      <c r="J1902" s="1"/>
      <c r="K1902" s="1"/>
      <c r="L1902" s="1" t="s">
        <v>7715</v>
      </c>
      <c r="M1902" s="1" t="s">
        <v>7837</v>
      </c>
      <c r="N1902" s="1" t="s">
        <v>53</v>
      </c>
      <c r="O1902" s="1" t="s">
        <v>54</v>
      </c>
      <c r="P1902" s="2">
        <v>43759.3333333333</v>
      </c>
      <c r="Q1902" s="1" t="s">
        <v>55</v>
      </c>
      <c r="R1902" s="1"/>
      <c r="S1902" s="1"/>
      <c r="T1902" s="1">
        <v>3205200.0</v>
      </c>
      <c r="U1902" s="1" t="s">
        <v>478</v>
      </c>
      <c r="V1902" s="1" t="s">
        <v>403</v>
      </c>
      <c r="W1902" s="1" t="s">
        <v>288</v>
      </c>
      <c r="X1902" s="1"/>
      <c r="Y1902" s="1"/>
      <c r="Z1902" s="1" t="s">
        <v>60</v>
      </c>
      <c r="AA1902" s="1" t="s">
        <v>7833</v>
      </c>
      <c r="AB1902" s="1" t="str">
        <f t="shared" si="120"/>
        <v>***334447**</v>
      </c>
      <c r="AC1902" s="1"/>
      <c r="AD1902" s="1"/>
      <c r="AE1902" s="1"/>
      <c r="AF1902" s="1">
        <v>-47.861944</v>
      </c>
      <c r="AG1902" s="1">
        <v>-15.767222</v>
      </c>
      <c r="AH1902" s="1" t="s">
        <v>7838</v>
      </c>
      <c r="AI1902" s="1"/>
      <c r="AJ1902" s="1" t="s">
        <v>7715</v>
      </c>
      <c r="AK1902" s="1"/>
      <c r="AL1902" s="1" t="s">
        <v>79</v>
      </c>
      <c r="AM1902" s="1" t="s">
        <v>65</v>
      </c>
      <c r="AN1902" s="1" t="s">
        <v>6765</v>
      </c>
      <c r="AO1902" s="2">
        <v>44239.0</v>
      </c>
      <c r="AP1902" s="2">
        <v>44239.5693865741</v>
      </c>
      <c r="AQ1902" s="1" t="s">
        <v>80</v>
      </c>
      <c r="AR1902" s="1" t="s">
        <v>188</v>
      </c>
      <c r="AS1902" s="1" t="s">
        <v>7839</v>
      </c>
      <c r="AT1902" s="2">
        <v>44269.931099537</v>
      </c>
    </row>
    <row r="1903" ht="13.5" customHeight="1">
      <c r="A1903" s="1">
        <v>2036750.0</v>
      </c>
      <c r="B1903" s="1" t="s">
        <v>67</v>
      </c>
      <c r="C1903" s="1" t="s">
        <v>68</v>
      </c>
      <c r="D1903" s="1" t="s">
        <v>46</v>
      </c>
      <c r="E1903" s="1" t="s">
        <v>7840</v>
      </c>
      <c r="F1903" s="1"/>
      <c r="G1903" s="1" t="s">
        <v>70</v>
      </c>
      <c r="H1903" s="1" t="s">
        <v>50</v>
      </c>
      <c r="I1903" s="1">
        <v>930000.0</v>
      </c>
      <c r="J1903" s="1"/>
      <c r="K1903" s="1"/>
      <c r="L1903" s="1" t="s">
        <v>172</v>
      </c>
      <c r="M1903" s="1" t="s">
        <v>7841</v>
      </c>
      <c r="N1903" s="1" t="s">
        <v>142</v>
      </c>
      <c r="O1903" s="1" t="s">
        <v>143</v>
      </c>
      <c r="P1903" s="2">
        <v>43759.25</v>
      </c>
      <c r="Q1903" s="1" t="s">
        <v>373</v>
      </c>
      <c r="R1903" s="3">
        <v>43759.0</v>
      </c>
      <c r="S1903" s="1"/>
      <c r="T1903" s="1">
        <v>5106158.0</v>
      </c>
      <c r="U1903" s="1" t="s">
        <v>1700</v>
      </c>
      <c r="V1903" s="1" t="s">
        <v>164</v>
      </c>
      <c r="W1903" s="1" t="s">
        <v>177</v>
      </c>
      <c r="X1903" s="1"/>
      <c r="Y1903" s="1" t="str">
        <f>"02001012075202019"</f>
        <v>02001012075202019</v>
      </c>
      <c r="Z1903" s="1" t="s">
        <v>147</v>
      </c>
      <c r="AA1903" s="1" t="s">
        <v>7842</v>
      </c>
      <c r="AB1903" s="1" t="str">
        <f>"***094319**"</f>
        <v>***094319**</v>
      </c>
      <c r="AC1903" s="1"/>
      <c r="AD1903" s="1"/>
      <c r="AE1903" s="1"/>
      <c r="AF1903" s="1"/>
      <c r="AG1903" s="1">
        <v>-9.885555</v>
      </c>
      <c r="AH1903" s="1" t="s">
        <v>7843</v>
      </c>
      <c r="AI1903" s="1"/>
      <c r="AJ1903" s="1" t="s">
        <v>172</v>
      </c>
      <c r="AK1903" s="1"/>
      <c r="AL1903" s="1" t="s">
        <v>79</v>
      </c>
      <c r="AM1903" s="1" t="s">
        <v>65</v>
      </c>
      <c r="AN1903" s="1" t="s">
        <v>6258</v>
      </c>
      <c r="AO1903" s="2">
        <v>43970.0</v>
      </c>
      <c r="AP1903" s="2">
        <v>43970.49625</v>
      </c>
      <c r="AQ1903" s="1" t="s">
        <v>80</v>
      </c>
      <c r="AR1903" s="1" t="s">
        <v>636</v>
      </c>
      <c r="AS1903" s="1"/>
      <c r="AT1903" s="2">
        <v>44269.931099537</v>
      </c>
    </row>
    <row r="1904" ht="13.5" customHeight="1">
      <c r="A1904" s="1">
        <v>2043464.0</v>
      </c>
      <c r="B1904" s="1" t="s">
        <v>67</v>
      </c>
      <c r="C1904" s="1" t="s">
        <v>68</v>
      </c>
      <c r="D1904" s="1" t="s">
        <v>46</v>
      </c>
      <c r="E1904" s="1" t="s">
        <v>7844</v>
      </c>
      <c r="F1904" s="1"/>
      <c r="G1904" s="1" t="s">
        <v>70</v>
      </c>
      <c r="H1904" s="1" t="s">
        <v>93</v>
      </c>
      <c r="I1904" s="1">
        <v>5600.0</v>
      </c>
      <c r="J1904" s="1"/>
      <c r="K1904" s="1"/>
      <c r="L1904" s="1" t="s">
        <v>7715</v>
      </c>
      <c r="M1904" s="1" t="s">
        <v>7845</v>
      </c>
      <c r="N1904" s="1" t="s">
        <v>53</v>
      </c>
      <c r="O1904" s="1" t="s">
        <v>54</v>
      </c>
      <c r="P1904" s="2">
        <v>43759.25</v>
      </c>
      <c r="Q1904" s="1" t="s">
        <v>55</v>
      </c>
      <c r="R1904" s="1"/>
      <c r="S1904" s="1"/>
      <c r="T1904" s="1">
        <v>3205200.0</v>
      </c>
      <c r="U1904" s="1" t="s">
        <v>478</v>
      </c>
      <c r="V1904" s="1" t="s">
        <v>403</v>
      </c>
      <c r="W1904" s="1" t="s">
        <v>288</v>
      </c>
      <c r="X1904" s="1"/>
      <c r="Y1904" s="1"/>
      <c r="Z1904" s="1" t="s">
        <v>60</v>
      </c>
      <c r="AA1904" s="1" t="s">
        <v>7833</v>
      </c>
      <c r="AB1904" s="1" t="str">
        <f>"***334447**"</f>
        <v>***334447**</v>
      </c>
      <c r="AC1904" s="1"/>
      <c r="AD1904" s="1"/>
      <c r="AE1904" s="1"/>
      <c r="AF1904" s="1">
        <v>-47.861944</v>
      </c>
      <c r="AG1904" s="1">
        <v>-15.767222</v>
      </c>
      <c r="AH1904" s="1" t="s">
        <v>7846</v>
      </c>
      <c r="AI1904" s="1"/>
      <c r="AJ1904" s="1" t="s">
        <v>7715</v>
      </c>
      <c r="AK1904" s="1"/>
      <c r="AL1904" s="1" t="s">
        <v>79</v>
      </c>
      <c r="AM1904" s="1" t="s">
        <v>65</v>
      </c>
      <c r="AN1904" s="1" t="s">
        <v>6765</v>
      </c>
      <c r="AO1904" s="2">
        <v>44239.0</v>
      </c>
      <c r="AP1904" s="2">
        <v>44239.5688773148</v>
      </c>
      <c r="AQ1904" s="1" t="s">
        <v>80</v>
      </c>
      <c r="AR1904" s="1" t="s">
        <v>188</v>
      </c>
      <c r="AS1904" s="1" t="s">
        <v>7839</v>
      </c>
      <c r="AT1904" s="2">
        <v>44269.931099537</v>
      </c>
    </row>
    <row r="1905" ht="13.5" customHeight="1">
      <c r="A1905" s="1"/>
      <c r="B1905" s="1" t="s">
        <v>46</v>
      </c>
      <c r="C1905" s="1" t="s">
        <v>47</v>
      </c>
      <c r="D1905" s="1"/>
      <c r="E1905" s="1" t="s">
        <v>7847</v>
      </c>
      <c r="F1905" s="1"/>
      <c r="G1905" s="1"/>
      <c r="H1905" s="1" t="s">
        <v>93</v>
      </c>
      <c r="I1905" s="1">
        <v>1000.0</v>
      </c>
      <c r="J1905" s="1"/>
      <c r="K1905" s="1"/>
      <c r="L1905" s="1"/>
      <c r="M1905" s="1" t="s">
        <v>7848</v>
      </c>
      <c r="N1905" s="1" t="s">
        <v>95</v>
      </c>
      <c r="O1905" s="1" t="s">
        <v>96</v>
      </c>
      <c r="P1905" s="2">
        <v>43759.2031944445</v>
      </c>
      <c r="Q1905" s="1" t="s">
        <v>74</v>
      </c>
      <c r="R1905" s="3">
        <v>43787.0</v>
      </c>
      <c r="S1905" s="1"/>
      <c r="T1905" s="1">
        <v>3205002.0</v>
      </c>
      <c r="U1905" s="1" t="s">
        <v>979</v>
      </c>
      <c r="V1905" s="1" t="s">
        <v>403</v>
      </c>
      <c r="W1905" s="1" t="s">
        <v>59</v>
      </c>
      <c r="X1905" s="1"/>
      <c r="Y1905" s="1"/>
      <c r="Z1905" s="1" t="s">
        <v>98</v>
      </c>
      <c r="AA1905" s="1" t="s">
        <v>7849</v>
      </c>
      <c r="AB1905" s="1" t="str">
        <f>"***838557**"</f>
        <v>***838557**</v>
      </c>
      <c r="AC1905" s="1"/>
      <c r="AD1905" s="1" t="s">
        <v>62</v>
      </c>
      <c r="AE1905" s="1"/>
      <c r="AF1905" s="1">
        <v>-40.315556</v>
      </c>
      <c r="AG1905" s="1">
        <v>-20.180277</v>
      </c>
      <c r="AH1905" s="1" t="s">
        <v>6613</v>
      </c>
      <c r="AI1905" s="1"/>
      <c r="AJ1905" s="1" t="s">
        <v>406</v>
      </c>
      <c r="AK1905" s="1"/>
      <c r="AL1905" s="1"/>
      <c r="AM1905" s="1" t="s">
        <v>65</v>
      </c>
      <c r="AN1905" s="1" t="s">
        <v>7850</v>
      </c>
      <c r="AO1905" s="1"/>
      <c r="AP1905" s="2">
        <v>43759.220150463</v>
      </c>
      <c r="AQ1905" s="1"/>
      <c r="AR1905" s="1" t="s">
        <v>7851</v>
      </c>
      <c r="AS1905" s="1"/>
      <c r="AT1905" s="2">
        <v>44269.931099537</v>
      </c>
    </row>
    <row r="1906" ht="13.5" customHeight="1">
      <c r="A1906" s="1">
        <v>1834483.0</v>
      </c>
      <c r="B1906" s="1" t="s">
        <v>67</v>
      </c>
      <c r="C1906" s="1" t="s">
        <v>68</v>
      </c>
      <c r="D1906" s="1" t="s">
        <v>46</v>
      </c>
      <c r="E1906" s="1">
        <v>9070643.0</v>
      </c>
      <c r="F1906" s="1" t="s">
        <v>1293</v>
      </c>
      <c r="G1906" s="1" t="s">
        <v>70</v>
      </c>
      <c r="H1906" s="1" t="s">
        <v>93</v>
      </c>
      <c r="I1906" s="1">
        <v>415000.0</v>
      </c>
      <c r="J1906" s="1"/>
      <c r="K1906" s="1"/>
      <c r="L1906" s="1" t="s">
        <v>131</v>
      </c>
      <c r="M1906" s="1" t="s">
        <v>7852</v>
      </c>
      <c r="N1906" s="1" t="s">
        <v>142</v>
      </c>
      <c r="O1906" s="1"/>
      <c r="P1906" s="2">
        <v>43759.0562384259</v>
      </c>
      <c r="Q1906" s="1" t="s">
        <v>373</v>
      </c>
      <c r="R1906" s="3">
        <v>43759.0</v>
      </c>
      <c r="S1906" s="1"/>
      <c r="T1906" s="1">
        <v>5101902.0</v>
      </c>
      <c r="U1906" s="1" t="s">
        <v>7486</v>
      </c>
      <c r="V1906" s="1" t="s">
        <v>164</v>
      </c>
      <c r="W1906" s="1" t="s">
        <v>177</v>
      </c>
      <c r="X1906" s="1"/>
      <c r="Y1906" s="1"/>
      <c r="Z1906" s="1" t="s">
        <v>147</v>
      </c>
      <c r="AA1906" s="1" t="s">
        <v>7853</v>
      </c>
      <c r="AB1906" s="1" t="str">
        <f>"***701651**"</f>
        <v>***701651**</v>
      </c>
      <c r="AC1906" s="1"/>
      <c r="AD1906" s="1"/>
      <c r="AE1906" s="1"/>
      <c r="AF1906" s="1">
        <v>-57.756667</v>
      </c>
      <c r="AG1906" s="1">
        <v>-12.191667</v>
      </c>
      <c r="AH1906" s="1" t="s">
        <v>7854</v>
      </c>
      <c r="AI1906" s="1"/>
      <c r="AJ1906" s="1" t="s">
        <v>7855</v>
      </c>
      <c r="AK1906" s="1"/>
      <c r="AL1906" s="1"/>
      <c r="AM1906" s="1"/>
      <c r="AN1906" s="1"/>
      <c r="AO1906" s="2">
        <v>43759.0709722222</v>
      </c>
      <c r="AP1906" s="1"/>
      <c r="AQ1906" s="1"/>
      <c r="AR1906" s="1" t="s">
        <v>7856</v>
      </c>
      <c r="AS1906" s="1"/>
      <c r="AT1906" s="2">
        <v>44269.931099537</v>
      </c>
    </row>
    <row r="1907" ht="13.5" customHeight="1">
      <c r="A1907" s="1"/>
      <c r="B1907" s="1" t="s">
        <v>46</v>
      </c>
      <c r="C1907" s="1" t="s">
        <v>47</v>
      </c>
      <c r="D1907" s="1"/>
      <c r="E1907" s="1" t="s">
        <v>7857</v>
      </c>
      <c r="F1907" s="1"/>
      <c r="G1907" s="1"/>
      <c r="H1907" s="1" t="s">
        <v>93</v>
      </c>
      <c r="I1907" s="1">
        <v>8510.0</v>
      </c>
      <c r="J1907" s="1"/>
      <c r="K1907" s="1"/>
      <c r="L1907" s="1"/>
      <c r="M1907" s="1" t="s">
        <v>7858</v>
      </c>
      <c r="N1907" s="1" t="s">
        <v>142</v>
      </c>
      <c r="O1907" s="1" t="s">
        <v>143</v>
      </c>
      <c r="P1907" s="2">
        <v>43758.6603472222</v>
      </c>
      <c r="Q1907" s="1" t="s">
        <v>373</v>
      </c>
      <c r="R1907" s="1"/>
      <c r="S1907" s="1"/>
      <c r="T1907" s="1">
        <v>1507300.0</v>
      </c>
      <c r="U1907" s="1" t="s">
        <v>3161</v>
      </c>
      <c r="V1907" s="1" t="s">
        <v>193</v>
      </c>
      <c r="W1907" s="1" t="s">
        <v>177</v>
      </c>
      <c r="X1907" s="1"/>
      <c r="Y1907" s="1"/>
      <c r="Z1907" s="1" t="s">
        <v>147</v>
      </c>
      <c r="AA1907" s="1" t="s">
        <v>7859</v>
      </c>
      <c r="AB1907" s="1" t="str">
        <f>"15625054000110"</f>
        <v>15625054000110</v>
      </c>
      <c r="AC1907" s="1"/>
      <c r="AD1907" s="1" t="s">
        <v>62</v>
      </c>
      <c r="AE1907" s="1"/>
      <c r="AF1907" s="1">
        <v>-52.262222</v>
      </c>
      <c r="AG1907" s="1">
        <v>-6.0825</v>
      </c>
      <c r="AH1907" s="1" t="s">
        <v>7860</v>
      </c>
      <c r="AI1907" s="1"/>
      <c r="AJ1907" s="1" t="s">
        <v>172</v>
      </c>
      <c r="AK1907" s="1"/>
      <c r="AL1907" s="1"/>
      <c r="AM1907" s="1" t="s">
        <v>65</v>
      </c>
      <c r="AN1907" s="1" t="s">
        <v>6258</v>
      </c>
      <c r="AO1907" s="1"/>
      <c r="AP1907" s="2">
        <v>43758.6822453704</v>
      </c>
      <c r="AQ1907" s="1"/>
      <c r="AR1907" s="1" t="s">
        <v>2525</v>
      </c>
      <c r="AS1907" s="1"/>
      <c r="AT1907" s="2">
        <v>44269.931099537</v>
      </c>
    </row>
    <row r="1908" ht="13.5" customHeight="1">
      <c r="A1908" s="1"/>
      <c r="B1908" s="1" t="s">
        <v>46</v>
      </c>
      <c r="C1908" s="1" t="s">
        <v>47</v>
      </c>
      <c r="D1908" s="1"/>
      <c r="E1908" s="1" t="s">
        <v>7861</v>
      </c>
      <c r="F1908" s="1"/>
      <c r="G1908" s="1"/>
      <c r="H1908" s="1" t="s">
        <v>50</v>
      </c>
      <c r="I1908" s="1"/>
      <c r="J1908" s="1"/>
      <c r="K1908" s="1"/>
      <c r="L1908" s="1"/>
      <c r="M1908" s="1" t="s">
        <v>7862</v>
      </c>
      <c r="N1908" s="1" t="s">
        <v>142</v>
      </c>
      <c r="O1908" s="1" t="s">
        <v>143</v>
      </c>
      <c r="P1908" s="2">
        <v>43758.6387731481</v>
      </c>
      <c r="Q1908" s="1"/>
      <c r="R1908" s="1"/>
      <c r="S1908" s="1"/>
      <c r="T1908" s="1">
        <v>1302405.0</v>
      </c>
      <c r="U1908" s="1" t="s">
        <v>2258</v>
      </c>
      <c r="V1908" s="1" t="s">
        <v>486</v>
      </c>
      <c r="W1908" s="1" t="s">
        <v>177</v>
      </c>
      <c r="X1908" s="1"/>
      <c r="Y1908" s="1" t="str">
        <f>"02001018573202067"</f>
        <v>02001018573202067</v>
      </c>
      <c r="Z1908" s="1" t="s">
        <v>147</v>
      </c>
      <c r="AA1908" s="1" t="s">
        <v>7863</v>
      </c>
      <c r="AB1908" s="1" t="str">
        <f t="shared" ref="AB1908:AB1909" si="121">"***674498**"</f>
        <v>***674498**</v>
      </c>
      <c r="AC1908" s="1"/>
      <c r="AD1908" s="1" t="s">
        <v>149</v>
      </c>
      <c r="AE1908" s="1"/>
      <c r="AF1908" s="1">
        <v>-65.703606</v>
      </c>
      <c r="AG1908" s="1">
        <v>-9.312222</v>
      </c>
      <c r="AH1908" s="1" t="s">
        <v>7864</v>
      </c>
      <c r="AI1908" s="1"/>
      <c r="AJ1908" s="1" t="s">
        <v>172</v>
      </c>
      <c r="AK1908" s="1"/>
      <c r="AL1908" s="1"/>
      <c r="AM1908" s="1" t="s">
        <v>65</v>
      </c>
      <c r="AN1908" s="1" t="s">
        <v>6258</v>
      </c>
      <c r="AO1908" s="1"/>
      <c r="AP1908" s="2">
        <v>44195.8529513889</v>
      </c>
      <c r="AQ1908" s="1"/>
      <c r="AR1908" s="1" t="s">
        <v>7865</v>
      </c>
      <c r="AS1908" s="1"/>
      <c r="AT1908" s="2">
        <v>44269.931099537</v>
      </c>
    </row>
    <row r="1909" ht="13.5" customHeight="1">
      <c r="A1909" s="1">
        <v>2038336.0</v>
      </c>
      <c r="B1909" s="1" t="s">
        <v>67</v>
      </c>
      <c r="C1909" s="1" t="s">
        <v>68</v>
      </c>
      <c r="D1909" s="1" t="s">
        <v>46</v>
      </c>
      <c r="E1909" s="1" t="s">
        <v>7866</v>
      </c>
      <c r="F1909" s="1"/>
      <c r="G1909" s="1" t="s">
        <v>70</v>
      </c>
      <c r="H1909" s="1" t="s">
        <v>50</v>
      </c>
      <c r="I1909" s="1">
        <v>200000.0</v>
      </c>
      <c r="J1909" s="1"/>
      <c r="K1909" s="1"/>
      <c r="L1909" s="1" t="s">
        <v>172</v>
      </c>
      <c r="M1909" s="1" t="s">
        <v>7867</v>
      </c>
      <c r="N1909" s="1" t="s">
        <v>283</v>
      </c>
      <c r="O1909" s="1" t="s">
        <v>1133</v>
      </c>
      <c r="P1909" s="2">
        <v>43758.5833333333</v>
      </c>
      <c r="Q1909" s="1" t="s">
        <v>74</v>
      </c>
      <c r="R1909" s="3">
        <v>43757.0</v>
      </c>
      <c r="S1909" s="1"/>
      <c r="T1909" s="1">
        <v>1302405.0</v>
      </c>
      <c r="U1909" s="1" t="s">
        <v>2258</v>
      </c>
      <c r="V1909" s="1" t="s">
        <v>486</v>
      </c>
      <c r="W1909" s="1" t="s">
        <v>177</v>
      </c>
      <c r="X1909" s="1"/>
      <c r="Y1909" s="1"/>
      <c r="Z1909" s="1" t="s">
        <v>128</v>
      </c>
      <c r="AA1909" s="1" t="s">
        <v>7868</v>
      </c>
      <c r="AB1909" s="1" t="str">
        <f t="shared" si="121"/>
        <v>***674498**</v>
      </c>
      <c r="AC1909" s="1"/>
      <c r="AD1909" s="1"/>
      <c r="AE1909" s="1"/>
      <c r="AF1909" s="1">
        <v>-65.703606</v>
      </c>
      <c r="AG1909" s="1">
        <v>-9.312222</v>
      </c>
      <c r="AH1909" s="1" t="s">
        <v>7869</v>
      </c>
      <c r="AI1909" s="1"/>
      <c r="AJ1909" s="1" t="s">
        <v>172</v>
      </c>
      <c r="AK1909" s="1"/>
      <c r="AL1909" s="1" t="s">
        <v>79</v>
      </c>
      <c r="AM1909" s="1" t="s">
        <v>65</v>
      </c>
      <c r="AN1909" s="1" t="s">
        <v>6258</v>
      </c>
      <c r="AO1909" s="2">
        <v>44032.0</v>
      </c>
      <c r="AP1909" s="2">
        <v>44032.4140277778</v>
      </c>
      <c r="AQ1909" s="1" t="s">
        <v>80</v>
      </c>
      <c r="AR1909" s="1" t="s">
        <v>1607</v>
      </c>
      <c r="AS1909" s="1"/>
      <c r="AT1909" s="2">
        <v>44269.931099537</v>
      </c>
    </row>
    <row r="1910" ht="13.5" customHeight="1">
      <c r="A1910" s="1">
        <v>2038342.0</v>
      </c>
      <c r="B1910" s="1" t="s">
        <v>67</v>
      </c>
      <c r="C1910" s="1" t="s">
        <v>68</v>
      </c>
      <c r="D1910" s="1" t="s">
        <v>46</v>
      </c>
      <c r="E1910" s="1" t="s">
        <v>7870</v>
      </c>
      <c r="F1910" s="1"/>
      <c r="G1910" s="1" t="s">
        <v>70</v>
      </c>
      <c r="H1910" s="1" t="s">
        <v>50</v>
      </c>
      <c r="I1910" s="1">
        <v>200000.0</v>
      </c>
      <c r="J1910" s="1"/>
      <c r="K1910" s="1"/>
      <c r="L1910" s="1" t="s">
        <v>172</v>
      </c>
      <c r="M1910" s="1" t="s">
        <v>7871</v>
      </c>
      <c r="N1910" s="1" t="s">
        <v>283</v>
      </c>
      <c r="O1910" s="1" t="s">
        <v>1133</v>
      </c>
      <c r="P1910" s="2">
        <v>43758.5833333333</v>
      </c>
      <c r="Q1910" s="1" t="s">
        <v>74</v>
      </c>
      <c r="R1910" s="3">
        <v>43757.0</v>
      </c>
      <c r="S1910" s="1"/>
      <c r="T1910" s="1">
        <v>1302405.0</v>
      </c>
      <c r="U1910" s="1" t="s">
        <v>2258</v>
      </c>
      <c r="V1910" s="1" t="s">
        <v>486</v>
      </c>
      <c r="W1910" s="1" t="s">
        <v>177</v>
      </c>
      <c r="X1910" s="1"/>
      <c r="Y1910" s="1"/>
      <c r="Z1910" s="1" t="s">
        <v>128</v>
      </c>
      <c r="AA1910" s="1" t="s">
        <v>7439</v>
      </c>
      <c r="AB1910" s="1" t="str">
        <f>"***473995**"</f>
        <v>***473995**</v>
      </c>
      <c r="AC1910" s="1"/>
      <c r="AD1910" s="1"/>
      <c r="AE1910" s="1"/>
      <c r="AF1910" s="1">
        <v>-65.703606</v>
      </c>
      <c r="AG1910" s="1">
        <v>-9.312222</v>
      </c>
      <c r="AH1910" s="1" t="s">
        <v>7872</v>
      </c>
      <c r="AI1910" s="1"/>
      <c r="AJ1910" s="1" t="s">
        <v>172</v>
      </c>
      <c r="AK1910" s="1"/>
      <c r="AL1910" s="1" t="s">
        <v>79</v>
      </c>
      <c r="AM1910" s="1" t="s">
        <v>65</v>
      </c>
      <c r="AN1910" s="1" t="s">
        <v>6258</v>
      </c>
      <c r="AO1910" s="2">
        <v>44032.0</v>
      </c>
      <c r="AP1910" s="2">
        <v>44032.4219328704</v>
      </c>
      <c r="AQ1910" s="1" t="s">
        <v>80</v>
      </c>
      <c r="AR1910" s="1" t="s">
        <v>1607</v>
      </c>
      <c r="AS1910" s="1"/>
      <c r="AT1910" s="2">
        <v>44269.931099537</v>
      </c>
    </row>
    <row r="1911" ht="13.5" customHeight="1">
      <c r="A1911" s="1"/>
      <c r="B1911" s="1" t="s">
        <v>46</v>
      </c>
      <c r="C1911" s="1" t="s">
        <v>47</v>
      </c>
      <c r="D1911" s="1"/>
      <c r="E1911" s="1" t="s">
        <v>7873</v>
      </c>
      <c r="F1911" s="1"/>
      <c r="G1911" s="1"/>
      <c r="H1911" s="1" t="s">
        <v>93</v>
      </c>
      <c r="I1911" s="1">
        <v>11242.84</v>
      </c>
      <c r="J1911" s="1"/>
      <c r="K1911" s="1"/>
      <c r="L1911" s="1"/>
      <c r="M1911" s="1" t="s">
        <v>7874</v>
      </c>
      <c r="N1911" s="1" t="s">
        <v>142</v>
      </c>
      <c r="O1911" s="1" t="s">
        <v>143</v>
      </c>
      <c r="P1911" s="2">
        <v>43758.5702083333</v>
      </c>
      <c r="Q1911" s="1" t="s">
        <v>373</v>
      </c>
      <c r="R1911" s="1"/>
      <c r="S1911" s="1"/>
      <c r="T1911" s="1">
        <v>1507300.0</v>
      </c>
      <c r="U1911" s="1" t="s">
        <v>3161</v>
      </c>
      <c r="V1911" s="1" t="s">
        <v>193</v>
      </c>
      <c r="W1911" s="1" t="s">
        <v>177</v>
      </c>
      <c r="X1911" s="1"/>
      <c r="Y1911" s="1"/>
      <c r="Z1911" s="1" t="s">
        <v>147</v>
      </c>
      <c r="AA1911" s="1" t="s">
        <v>7875</v>
      </c>
      <c r="AB1911" s="1" t="str">
        <f>"07512415000193"</f>
        <v>07512415000193</v>
      </c>
      <c r="AC1911" s="1"/>
      <c r="AD1911" s="1" t="s">
        <v>62</v>
      </c>
      <c r="AE1911" s="1"/>
      <c r="AF1911" s="1">
        <v>-52.357502</v>
      </c>
      <c r="AG1911" s="1">
        <v>-6.18</v>
      </c>
      <c r="AH1911" s="1" t="s">
        <v>7876</v>
      </c>
      <c r="AI1911" s="1"/>
      <c r="AJ1911" s="1" t="s">
        <v>172</v>
      </c>
      <c r="AK1911" s="1"/>
      <c r="AL1911" s="1"/>
      <c r="AM1911" s="1" t="s">
        <v>65</v>
      </c>
      <c r="AN1911" s="1" t="s">
        <v>6258</v>
      </c>
      <c r="AO1911" s="1"/>
      <c r="AP1911" s="2">
        <v>43758.602025463</v>
      </c>
      <c r="AQ1911" s="1"/>
      <c r="AR1911" s="1" t="s">
        <v>280</v>
      </c>
      <c r="AS1911" s="1"/>
      <c r="AT1911" s="2">
        <v>44269.931099537</v>
      </c>
    </row>
    <row r="1912" ht="13.5" customHeight="1">
      <c r="A1912" s="1"/>
      <c r="B1912" s="1" t="s">
        <v>46</v>
      </c>
      <c r="C1912" s="1" t="s">
        <v>47</v>
      </c>
      <c r="D1912" s="1"/>
      <c r="E1912" s="1" t="s">
        <v>7877</v>
      </c>
      <c r="F1912" s="1"/>
      <c r="G1912" s="1" t="s">
        <v>49</v>
      </c>
      <c r="H1912" s="1" t="s">
        <v>93</v>
      </c>
      <c r="I1912" s="1">
        <v>1.0077825E7</v>
      </c>
      <c r="J1912" s="1"/>
      <c r="K1912" s="1"/>
      <c r="L1912" s="1"/>
      <c r="M1912" s="1" t="s">
        <v>7878</v>
      </c>
      <c r="N1912" s="1" t="s">
        <v>142</v>
      </c>
      <c r="O1912" s="1" t="s">
        <v>143</v>
      </c>
      <c r="P1912" s="2">
        <v>43758.5237037037</v>
      </c>
      <c r="Q1912" s="1" t="s">
        <v>74</v>
      </c>
      <c r="R1912" s="3">
        <v>43776.0</v>
      </c>
      <c r="S1912" s="1"/>
      <c r="T1912" s="1">
        <v>1302405.0</v>
      </c>
      <c r="U1912" s="1" t="s">
        <v>2258</v>
      </c>
      <c r="V1912" s="1" t="s">
        <v>486</v>
      </c>
      <c r="W1912" s="1" t="s">
        <v>177</v>
      </c>
      <c r="X1912" s="1"/>
      <c r="Y1912" s="1"/>
      <c r="Z1912" s="1" t="s">
        <v>147</v>
      </c>
      <c r="AA1912" s="1" t="s">
        <v>7868</v>
      </c>
      <c r="AB1912" s="1" t="str">
        <f>"***674498**"</f>
        <v>***674498**</v>
      </c>
      <c r="AC1912" s="1"/>
      <c r="AD1912" s="1" t="s">
        <v>116</v>
      </c>
      <c r="AE1912" s="1"/>
      <c r="AF1912" s="1"/>
      <c r="AG1912" s="1"/>
      <c r="AH1912" s="1" t="s">
        <v>7879</v>
      </c>
      <c r="AI1912" s="1"/>
      <c r="AJ1912" s="1" t="s">
        <v>172</v>
      </c>
      <c r="AK1912" s="1"/>
      <c r="AL1912" s="1"/>
      <c r="AM1912" s="1" t="s">
        <v>65</v>
      </c>
      <c r="AN1912" s="1" t="s">
        <v>6258</v>
      </c>
      <c r="AO1912" s="1"/>
      <c r="AP1912" s="2">
        <v>44237.7925578704</v>
      </c>
      <c r="AQ1912" s="1"/>
      <c r="AR1912" s="1" t="s">
        <v>7880</v>
      </c>
      <c r="AS1912" s="1"/>
      <c r="AT1912" s="2">
        <v>44269.931099537</v>
      </c>
    </row>
    <row r="1913" ht="13.5" customHeight="1">
      <c r="A1913" s="1">
        <v>2036579.0</v>
      </c>
      <c r="B1913" s="1" t="s">
        <v>67</v>
      </c>
      <c r="C1913" s="1" t="s">
        <v>68</v>
      </c>
      <c r="D1913" s="1" t="s">
        <v>46</v>
      </c>
      <c r="E1913" s="1" t="s">
        <v>7881</v>
      </c>
      <c r="F1913" s="1"/>
      <c r="G1913" s="1" t="s">
        <v>70</v>
      </c>
      <c r="H1913" s="1" t="s">
        <v>50</v>
      </c>
      <c r="I1913" s="1">
        <v>6000.0</v>
      </c>
      <c r="J1913" s="1"/>
      <c r="K1913" s="1"/>
      <c r="L1913" s="1" t="s">
        <v>800</v>
      </c>
      <c r="M1913" s="1" t="s">
        <v>7882</v>
      </c>
      <c r="N1913" s="1" t="s">
        <v>108</v>
      </c>
      <c r="O1913" s="1" t="s">
        <v>109</v>
      </c>
      <c r="P1913" s="2">
        <v>43758.5</v>
      </c>
      <c r="Q1913" s="1" t="s">
        <v>373</v>
      </c>
      <c r="R1913" s="3">
        <v>43758.0</v>
      </c>
      <c r="S1913" s="1"/>
      <c r="T1913" s="1">
        <v>1600204.0</v>
      </c>
      <c r="U1913" s="1" t="s">
        <v>7883</v>
      </c>
      <c r="V1913" s="1" t="s">
        <v>797</v>
      </c>
      <c r="W1913" s="1" t="s">
        <v>177</v>
      </c>
      <c r="X1913" s="1"/>
      <c r="Y1913" s="1" t="str">
        <f>"02004000618202017"</f>
        <v>02004000618202017</v>
      </c>
      <c r="Z1913" s="1" t="s">
        <v>226</v>
      </c>
      <c r="AA1913" s="1" t="s">
        <v>7884</v>
      </c>
      <c r="AB1913" s="1" t="str">
        <f>"10509866000186"</f>
        <v>10509866000186</v>
      </c>
      <c r="AC1913" s="1"/>
      <c r="AD1913" s="1"/>
      <c r="AE1913" s="1"/>
      <c r="AF1913" s="1">
        <v>-51.005833</v>
      </c>
      <c r="AG1913" s="1">
        <v>2.630556</v>
      </c>
      <c r="AH1913" s="1" t="s">
        <v>7885</v>
      </c>
      <c r="AI1913" s="1"/>
      <c r="AJ1913" s="1" t="s">
        <v>800</v>
      </c>
      <c r="AK1913" s="1"/>
      <c r="AL1913" s="1" t="s">
        <v>79</v>
      </c>
      <c r="AM1913" s="1" t="s">
        <v>65</v>
      </c>
      <c r="AN1913" s="1" t="s">
        <v>7415</v>
      </c>
      <c r="AO1913" s="2">
        <v>43964.0</v>
      </c>
      <c r="AP1913" s="2">
        <v>43964.6130439815</v>
      </c>
      <c r="AQ1913" s="1" t="s">
        <v>80</v>
      </c>
      <c r="AR1913" s="1" t="s">
        <v>1136</v>
      </c>
      <c r="AS1913" s="1"/>
      <c r="AT1913" s="2">
        <v>44269.931099537</v>
      </c>
    </row>
    <row r="1914" ht="13.5" customHeight="1">
      <c r="A1914" s="1"/>
      <c r="B1914" s="1" t="s">
        <v>46</v>
      </c>
      <c r="C1914" s="1" t="s">
        <v>47</v>
      </c>
      <c r="D1914" s="1"/>
      <c r="E1914" s="1" t="s">
        <v>7886</v>
      </c>
      <c r="F1914" s="1"/>
      <c r="G1914" s="1" t="s">
        <v>49</v>
      </c>
      <c r="H1914" s="1" t="s">
        <v>50</v>
      </c>
      <c r="I1914" s="1">
        <v>6600.0</v>
      </c>
      <c r="J1914" s="1"/>
      <c r="K1914" s="1" t="s">
        <v>51</v>
      </c>
      <c r="L1914" s="1"/>
      <c r="M1914" s="1" t="s">
        <v>7887</v>
      </c>
      <c r="N1914" s="1" t="s">
        <v>108</v>
      </c>
      <c r="O1914" s="1" t="s">
        <v>109</v>
      </c>
      <c r="P1914" s="2">
        <v>43758.4896180556</v>
      </c>
      <c r="Q1914" s="1" t="s">
        <v>373</v>
      </c>
      <c r="R1914" s="1"/>
      <c r="S1914" s="1"/>
      <c r="T1914" s="1">
        <v>1600204.0</v>
      </c>
      <c r="U1914" s="1" t="s">
        <v>7883</v>
      </c>
      <c r="V1914" s="1" t="s">
        <v>797</v>
      </c>
      <c r="W1914" s="1" t="s">
        <v>177</v>
      </c>
      <c r="X1914" s="1"/>
      <c r="Y1914" s="1"/>
      <c r="Z1914" s="1" t="s">
        <v>226</v>
      </c>
      <c r="AA1914" s="1" t="s">
        <v>7888</v>
      </c>
      <c r="AB1914" s="1" t="str">
        <f>"23086408000123"</f>
        <v>23086408000123</v>
      </c>
      <c r="AC1914" s="1"/>
      <c r="AD1914" s="1" t="s">
        <v>62</v>
      </c>
      <c r="AE1914" s="1"/>
      <c r="AF1914" s="1">
        <v>-50.951667</v>
      </c>
      <c r="AG1914" s="1">
        <v>2.493056</v>
      </c>
      <c r="AH1914" s="1" t="s">
        <v>7889</v>
      </c>
      <c r="AI1914" s="1"/>
      <c r="AJ1914" s="1" t="s">
        <v>800</v>
      </c>
      <c r="AK1914" s="1"/>
      <c r="AL1914" s="1"/>
      <c r="AM1914" s="1" t="s">
        <v>65</v>
      </c>
      <c r="AN1914" s="1" t="s">
        <v>7415</v>
      </c>
      <c r="AO1914" s="1"/>
      <c r="AP1914" s="2">
        <v>44251.4275</v>
      </c>
      <c r="AQ1914" s="1"/>
      <c r="AR1914" s="1" t="s">
        <v>899</v>
      </c>
      <c r="AS1914" s="1"/>
      <c r="AT1914" s="2">
        <v>44269.931099537</v>
      </c>
    </row>
    <row r="1915" ht="13.5" customHeight="1">
      <c r="A1915" s="1"/>
      <c r="B1915" s="1" t="s">
        <v>46</v>
      </c>
      <c r="C1915" s="1" t="s">
        <v>657</v>
      </c>
      <c r="D1915" s="1" t="s">
        <v>67</v>
      </c>
      <c r="E1915" s="1" t="s">
        <v>7890</v>
      </c>
      <c r="F1915" s="1"/>
      <c r="G1915" s="1" t="s">
        <v>49</v>
      </c>
      <c r="H1915" s="1" t="s">
        <v>50</v>
      </c>
      <c r="I1915" s="1"/>
      <c r="J1915" s="1"/>
      <c r="K1915" s="1"/>
      <c r="L1915" s="1"/>
      <c r="M1915" s="1" t="s">
        <v>7891</v>
      </c>
      <c r="N1915" s="1" t="s">
        <v>53</v>
      </c>
      <c r="O1915" s="1" t="s">
        <v>54</v>
      </c>
      <c r="P1915" s="2">
        <v>43758.4668981482</v>
      </c>
      <c r="Q1915" s="1"/>
      <c r="R1915" s="1"/>
      <c r="S1915" s="1"/>
      <c r="T1915" s="1">
        <v>5103106.0</v>
      </c>
      <c r="U1915" s="1" t="s">
        <v>5471</v>
      </c>
      <c r="V1915" s="1" t="s">
        <v>164</v>
      </c>
      <c r="W1915" s="1" t="s">
        <v>177</v>
      </c>
      <c r="X1915" s="1"/>
      <c r="Y1915" s="1"/>
      <c r="Z1915" s="1" t="s">
        <v>60</v>
      </c>
      <c r="AA1915" s="1" t="s">
        <v>7892</v>
      </c>
      <c r="AB1915" s="1" t="str">
        <f>"***798721**"</f>
        <v>***798721**</v>
      </c>
      <c r="AC1915" s="1"/>
      <c r="AD1915" s="1" t="s">
        <v>149</v>
      </c>
      <c r="AE1915" s="1"/>
      <c r="AF1915" s="1"/>
      <c r="AG1915" s="1"/>
      <c r="AH1915" s="1" t="s">
        <v>7893</v>
      </c>
      <c r="AI1915" s="1"/>
      <c r="AJ1915" s="1" t="s">
        <v>371</v>
      </c>
      <c r="AK1915" s="1"/>
      <c r="AL1915" s="1"/>
      <c r="AM1915" s="1" t="s">
        <v>65</v>
      </c>
      <c r="AN1915" s="1" t="s">
        <v>7105</v>
      </c>
      <c r="AO1915" s="1"/>
      <c r="AP1915" s="2">
        <v>44166.5813541667</v>
      </c>
      <c r="AQ1915" s="1"/>
      <c r="AR1915" s="1" t="s">
        <v>1675</v>
      </c>
      <c r="AS1915" s="1"/>
      <c r="AT1915" s="2">
        <v>44269.931099537</v>
      </c>
    </row>
    <row r="1916" ht="13.5" customHeight="1">
      <c r="A1916" s="1">
        <v>2037888.0</v>
      </c>
      <c r="B1916" s="1" t="s">
        <v>67</v>
      </c>
      <c r="C1916" s="1" t="s">
        <v>68</v>
      </c>
      <c r="D1916" s="1" t="s">
        <v>46</v>
      </c>
      <c r="E1916" s="1" t="s">
        <v>7894</v>
      </c>
      <c r="F1916" s="1"/>
      <c r="G1916" s="1" t="s">
        <v>70</v>
      </c>
      <c r="H1916" s="1" t="s">
        <v>50</v>
      </c>
      <c r="I1916" s="1">
        <v>210500.0</v>
      </c>
      <c r="J1916" s="1"/>
      <c r="K1916" s="1"/>
      <c r="L1916" s="1" t="s">
        <v>172</v>
      </c>
      <c r="M1916" s="1" t="s">
        <v>7895</v>
      </c>
      <c r="N1916" s="1" t="s">
        <v>283</v>
      </c>
      <c r="O1916" s="1" t="s">
        <v>1133</v>
      </c>
      <c r="P1916" s="2">
        <v>43758.375</v>
      </c>
      <c r="Q1916" s="1" t="s">
        <v>74</v>
      </c>
      <c r="R1916" s="3">
        <v>43758.0</v>
      </c>
      <c r="S1916" s="1"/>
      <c r="T1916" s="1">
        <v>1507300.0</v>
      </c>
      <c r="U1916" s="1" t="s">
        <v>3161</v>
      </c>
      <c r="V1916" s="1" t="s">
        <v>193</v>
      </c>
      <c r="W1916" s="1" t="s">
        <v>177</v>
      </c>
      <c r="X1916" s="1"/>
      <c r="Y1916" s="1" t="str">
        <f>"02001015154202073"</f>
        <v>02001015154202073</v>
      </c>
      <c r="Z1916" s="1" t="s">
        <v>128</v>
      </c>
      <c r="AA1916" s="1" t="s">
        <v>7896</v>
      </c>
      <c r="AB1916" s="1" t="str">
        <f>"***857823**"</f>
        <v>***857823**</v>
      </c>
      <c r="AC1916" s="1"/>
      <c r="AD1916" s="1"/>
      <c r="AE1916" s="1"/>
      <c r="AF1916" s="1">
        <v>-52.2575</v>
      </c>
      <c r="AG1916" s="1">
        <v>-6.207778</v>
      </c>
      <c r="AH1916" s="1" t="s">
        <v>7897</v>
      </c>
      <c r="AI1916" s="1"/>
      <c r="AJ1916" s="1" t="s">
        <v>172</v>
      </c>
      <c r="AK1916" s="1"/>
      <c r="AL1916" s="1" t="s">
        <v>79</v>
      </c>
      <c r="AM1916" s="1" t="s">
        <v>65</v>
      </c>
      <c r="AN1916" s="1" t="s">
        <v>6258</v>
      </c>
      <c r="AO1916" s="2">
        <v>44013.0</v>
      </c>
      <c r="AP1916" s="2">
        <v>44013.6365393519</v>
      </c>
      <c r="AQ1916" s="1" t="s">
        <v>80</v>
      </c>
      <c r="AR1916" s="1" t="s">
        <v>656</v>
      </c>
      <c r="AS1916" s="1"/>
      <c r="AT1916" s="2">
        <v>44269.931099537</v>
      </c>
    </row>
    <row r="1917" ht="13.5" customHeight="1">
      <c r="A1917" s="1">
        <v>2038852.0</v>
      </c>
      <c r="B1917" s="1" t="s">
        <v>67</v>
      </c>
      <c r="C1917" s="1" t="s">
        <v>68</v>
      </c>
      <c r="D1917" s="1" t="s">
        <v>46</v>
      </c>
      <c r="E1917" s="1" t="s">
        <v>7898</v>
      </c>
      <c r="F1917" s="1"/>
      <c r="G1917" s="1" t="s">
        <v>70</v>
      </c>
      <c r="H1917" s="1" t="s">
        <v>93</v>
      </c>
      <c r="I1917" s="1">
        <v>40104.0</v>
      </c>
      <c r="J1917" s="1"/>
      <c r="K1917" s="1"/>
      <c r="L1917" s="1" t="s">
        <v>172</v>
      </c>
      <c r="M1917" s="1" t="s">
        <v>7899</v>
      </c>
      <c r="N1917" s="1" t="s">
        <v>142</v>
      </c>
      <c r="O1917" s="1" t="s">
        <v>143</v>
      </c>
      <c r="P1917" s="2">
        <v>43758.2916666667</v>
      </c>
      <c r="Q1917" s="1" t="s">
        <v>74</v>
      </c>
      <c r="R1917" s="3">
        <v>43757.0</v>
      </c>
      <c r="S1917" s="1"/>
      <c r="T1917" s="1">
        <v>1507300.0</v>
      </c>
      <c r="U1917" s="1" t="s">
        <v>3161</v>
      </c>
      <c r="V1917" s="1" t="s">
        <v>193</v>
      </c>
      <c r="W1917" s="1" t="s">
        <v>177</v>
      </c>
      <c r="X1917" s="1"/>
      <c r="Y1917" s="1" t="str">
        <f>"02001017769202034"</f>
        <v>02001017769202034</v>
      </c>
      <c r="Z1917" s="1" t="s">
        <v>147</v>
      </c>
      <c r="AA1917" s="1" t="s">
        <v>7900</v>
      </c>
      <c r="AB1917" s="1" t="str">
        <f>"***155476**"</f>
        <v>***155476**</v>
      </c>
      <c r="AC1917" s="1"/>
      <c r="AD1917" s="1"/>
      <c r="AE1917" s="1"/>
      <c r="AF1917" s="1">
        <v>-52.2575</v>
      </c>
      <c r="AG1917" s="1">
        <v>-6.207778</v>
      </c>
      <c r="AH1917" s="1" t="s">
        <v>7901</v>
      </c>
      <c r="AI1917" s="1"/>
      <c r="AJ1917" s="1" t="s">
        <v>172</v>
      </c>
      <c r="AK1917" s="1"/>
      <c r="AL1917" s="1" t="s">
        <v>79</v>
      </c>
      <c r="AM1917" s="1" t="s">
        <v>65</v>
      </c>
      <c r="AN1917" s="1" t="s">
        <v>6258</v>
      </c>
      <c r="AO1917" s="2">
        <v>44047.0</v>
      </c>
      <c r="AP1917" s="2">
        <v>44047.3559606482</v>
      </c>
      <c r="AQ1917" s="1" t="s">
        <v>80</v>
      </c>
      <c r="AR1917" s="1" t="s">
        <v>379</v>
      </c>
      <c r="AS1917" s="1"/>
      <c r="AT1917" s="2">
        <v>44269.931099537</v>
      </c>
    </row>
    <row r="1918" ht="13.5" customHeight="1">
      <c r="A1918" s="1">
        <v>2035906.0</v>
      </c>
      <c r="B1918" s="1" t="s">
        <v>67</v>
      </c>
      <c r="C1918" s="1" t="s">
        <v>68</v>
      </c>
      <c r="D1918" s="1" t="s">
        <v>46</v>
      </c>
      <c r="E1918" s="1" t="s">
        <v>7902</v>
      </c>
      <c r="F1918" s="1"/>
      <c r="G1918" s="1" t="s">
        <v>70</v>
      </c>
      <c r="H1918" s="1" t="s">
        <v>50</v>
      </c>
      <c r="I1918" s="1">
        <v>520000.0</v>
      </c>
      <c r="J1918" s="1"/>
      <c r="K1918" s="1"/>
      <c r="L1918" s="1" t="s">
        <v>172</v>
      </c>
      <c r="M1918" s="1" t="s">
        <v>7903</v>
      </c>
      <c r="N1918" s="1" t="s">
        <v>72</v>
      </c>
      <c r="O1918" s="1" t="s">
        <v>73</v>
      </c>
      <c r="P1918" s="2">
        <v>43758.25</v>
      </c>
      <c r="Q1918" s="1" t="s">
        <v>373</v>
      </c>
      <c r="R1918" s="3">
        <v>43758.0</v>
      </c>
      <c r="S1918" s="1"/>
      <c r="T1918" s="1">
        <v>1100205.0</v>
      </c>
      <c r="U1918" s="1" t="s">
        <v>653</v>
      </c>
      <c r="V1918" s="1" t="s">
        <v>448</v>
      </c>
      <c r="W1918" s="1" t="s">
        <v>177</v>
      </c>
      <c r="X1918" s="1"/>
      <c r="Y1918" s="1" t="str">
        <f>"02001009257202002"</f>
        <v>02001009257202002</v>
      </c>
      <c r="Z1918" s="1" t="s">
        <v>76</v>
      </c>
      <c r="AA1918" s="1" t="s">
        <v>7904</v>
      </c>
      <c r="AB1918" s="1" t="str">
        <f>"19653802000129"</f>
        <v>19653802000129</v>
      </c>
      <c r="AC1918" s="1"/>
      <c r="AD1918" s="1"/>
      <c r="AE1918" s="1"/>
      <c r="AF1918" s="1">
        <v>-65.771118</v>
      </c>
      <c r="AG1918" s="1">
        <v>-9.663889</v>
      </c>
      <c r="AH1918" s="1" t="s">
        <v>7262</v>
      </c>
      <c r="AI1918" s="1"/>
      <c r="AJ1918" s="1" t="s">
        <v>172</v>
      </c>
      <c r="AK1918" s="1"/>
      <c r="AL1918" s="1" t="s">
        <v>79</v>
      </c>
      <c r="AM1918" s="1" t="s">
        <v>65</v>
      </c>
      <c r="AN1918" s="1" t="s">
        <v>6258</v>
      </c>
      <c r="AO1918" s="2">
        <v>43923.0</v>
      </c>
      <c r="AP1918" s="2">
        <v>43923.3896759259</v>
      </c>
      <c r="AQ1918" s="1" t="s">
        <v>80</v>
      </c>
      <c r="AR1918" s="1" t="s">
        <v>1607</v>
      </c>
      <c r="AS1918" s="1"/>
      <c r="AT1918" s="2">
        <v>44269.931099537</v>
      </c>
    </row>
    <row r="1919" ht="13.5" customHeight="1">
      <c r="A1919" s="1"/>
      <c r="B1919" s="1" t="s">
        <v>46</v>
      </c>
      <c r="C1919" s="1" t="s">
        <v>47</v>
      </c>
      <c r="D1919" s="1"/>
      <c r="E1919" s="1" t="s">
        <v>7905</v>
      </c>
      <c r="F1919" s="1"/>
      <c r="G1919" s="1" t="s">
        <v>49</v>
      </c>
      <c r="H1919" s="1" t="s">
        <v>93</v>
      </c>
      <c r="I1919" s="1">
        <v>675000.0</v>
      </c>
      <c r="J1919" s="1"/>
      <c r="K1919" s="1"/>
      <c r="L1919" s="1"/>
      <c r="M1919" s="1" t="s">
        <v>7906</v>
      </c>
      <c r="N1919" s="1" t="s">
        <v>142</v>
      </c>
      <c r="O1919" s="1" t="s">
        <v>143</v>
      </c>
      <c r="P1919" s="2">
        <v>43757.9640162037</v>
      </c>
      <c r="Q1919" s="1" t="s">
        <v>74</v>
      </c>
      <c r="R1919" s="1"/>
      <c r="S1919" s="1" t="s">
        <v>351</v>
      </c>
      <c r="T1919" s="1">
        <v>1506195.0</v>
      </c>
      <c r="U1919" s="1" t="s">
        <v>7907</v>
      </c>
      <c r="V1919" s="1" t="s">
        <v>193</v>
      </c>
      <c r="W1919" s="1" t="s">
        <v>177</v>
      </c>
      <c r="X1919" s="1"/>
      <c r="Y1919" s="1"/>
      <c r="Z1919" s="1" t="s">
        <v>147</v>
      </c>
      <c r="AA1919" s="1" t="s">
        <v>7908</v>
      </c>
      <c r="AB1919" s="1" t="str">
        <f>"***038620**"</f>
        <v>***038620**</v>
      </c>
      <c r="AC1919" s="1"/>
      <c r="AD1919" s="1" t="s">
        <v>116</v>
      </c>
      <c r="AE1919" s="1"/>
      <c r="AF1919" s="1">
        <v>-55.228333</v>
      </c>
      <c r="AG1919" s="1">
        <v>-4.149167</v>
      </c>
      <c r="AH1919" s="1" t="s">
        <v>7909</v>
      </c>
      <c r="AI1919" s="1"/>
      <c r="AJ1919" s="1" t="s">
        <v>172</v>
      </c>
      <c r="AK1919" s="1"/>
      <c r="AL1919" s="1"/>
      <c r="AM1919" s="1" t="s">
        <v>65</v>
      </c>
      <c r="AN1919" s="1" t="s">
        <v>6258</v>
      </c>
      <c r="AO1919" s="1"/>
      <c r="AP1919" s="2">
        <v>44102.8669328704</v>
      </c>
      <c r="AQ1919" s="1"/>
      <c r="AR1919" s="1" t="s">
        <v>4932</v>
      </c>
      <c r="AS1919" s="1"/>
      <c r="AT1919" s="2">
        <v>44269.931099537</v>
      </c>
    </row>
    <row r="1920" ht="13.5" customHeight="1">
      <c r="A1920" s="1"/>
      <c r="B1920" s="1" t="s">
        <v>46</v>
      </c>
      <c r="C1920" s="1" t="s">
        <v>47</v>
      </c>
      <c r="D1920" s="1"/>
      <c r="E1920" s="1" t="s">
        <v>7910</v>
      </c>
      <c r="F1920" s="1"/>
      <c r="G1920" s="1" t="s">
        <v>49</v>
      </c>
      <c r="H1920" s="1" t="s">
        <v>93</v>
      </c>
      <c r="I1920" s="1">
        <v>22758.0</v>
      </c>
      <c r="J1920" s="1"/>
      <c r="K1920" s="1"/>
      <c r="L1920" s="1"/>
      <c r="M1920" s="1" t="s">
        <v>7911</v>
      </c>
      <c r="N1920" s="1" t="s">
        <v>212</v>
      </c>
      <c r="O1920" s="1" t="s">
        <v>213</v>
      </c>
      <c r="P1920" s="2">
        <v>43757.9525347222</v>
      </c>
      <c r="Q1920" s="1" t="s">
        <v>74</v>
      </c>
      <c r="R1920" s="1"/>
      <c r="S1920" s="1" t="s">
        <v>191</v>
      </c>
      <c r="T1920" s="1">
        <v>1507300.0</v>
      </c>
      <c r="U1920" s="1" t="s">
        <v>3161</v>
      </c>
      <c r="V1920" s="1" t="s">
        <v>193</v>
      </c>
      <c r="W1920" s="1" t="s">
        <v>177</v>
      </c>
      <c r="X1920" s="1"/>
      <c r="Y1920" s="1"/>
      <c r="Z1920" s="1" t="s">
        <v>215</v>
      </c>
      <c r="AA1920" s="1" t="s">
        <v>7912</v>
      </c>
      <c r="AB1920" s="1" t="str">
        <f>"***943032**"</f>
        <v>***943032**</v>
      </c>
      <c r="AC1920" s="1"/>
      <c r="AD1920" s="1" t="s">
        <v>62</v>
      </c>
      <c r="AE1920" s="1"/>
      <c r="AF1920" s="1">
        <v>-52.247223</v>
      </c>
      <c r="AG1920" s="1">
        <v>-6.088056</v>
      </c>
      <c r="AH1920" s="1" t="s">
        <v>7913</v>
      </c>
      <c r="AI1920" s="1"/>
      <c r="AJ1920" s="1" t="s">
        <v>172</v>
      </c>
      <c r="AK1920" s="1"/>
      <c r="AL1920" s="1"/>
      <c r="AM1920" s="1" t="s">
        <v>65</v>
      </c>
      <c r="AN1920" s="1" t="s">
        <v>7914</v>
      </c>
      <c r="AO1920" s="1"/>
      <c r="AP1920" s="2">
        <v>44097.7847800926</v>
      </c>
      <c r="AQ1920" s="1"/>
      <c r="AR1920" s="1" t="s">
        <v>280</v>
      </c>
      <c r="AS1920" s="1"/>
      <c r="AT1920" s="2">
        <v>44269.931099537</v>
      </c>
    </row>
    <row r="1921" ht="13.5" customHeight="1">
      <c r="A1921" s="1"/>
      <c r="B1921" s="1" t="s">
        <v>46</v>
      </c>
      <c r="C1921" s="1" t="s">
        <v>47</v>
      </c>
      <c r="D1921" s="1"/>
      <c r="E1921" s="1" t="s">
        <v>7915</v>
      </c>
      <c r="F1921" s="1"/>
      <c r="G1921" s="1" t="s">
        <v>49</v>
      </c>
      <c r="H1921" s="1" t="s">
        <v>93</v>
      </c>
      <c r="I1921" s="1">
        <v>1708700.0</v>
      </c>
      <c r="J1921" s="1"/>
      <c r="K1921" s="1"/>
      <c r="L1921" s="1"/>
      <c r="M1921" s="1" t="s">
        <v>7916</v>
      </c>
      <c r="N1921" s="1" t="s">
        <v>142</v>
      </c>
      <c r="O1921" s="1" t="s">
        <v>143</v>
      </c>
      <c r="P1921" s="2">
        <v>43757.9317013889</v>
      </c>
      <c r="Q1921" s="1" t="s">
        <v>74</v>
      </c>
      <c r="R1921" s="3">
        <v>43757.0</v>
      </c>
      <c r="S1921" s="1"/>
      <c r="T1921" s="1">
        <v>1302405.0</v>
      </c>
      <c r="U1921" s="1" t="s">
        <v>2258</v>
      </c>
      <c r="V1921" s="1" t="s">
        <v>486</v>
      </c>
      <c r="W1921" s="1" t="s">
        <v>177</v>
      </c>
      <c r="X1921" s="1"/>
      <c r="Y1921" s="1"/>
      <c r="Z1921" s="1" t="s">
        <v>147</v>
      </c>
      <c r="AA1921" s="1" t="s">
        <v>7917</v>
      </c>
      <c r="AB1921" s="1" t="str">
        <f>"***009462**"</f>
        <v>***009462**</v>
      </c>
      <c r="AC1921" s="1"/>
      <c r="AD1921" s="1" t="s">
        <v>116</v>
      </c>
      <c r="AE1921" s="1"/>
      <c r="AF1921" s="1">
        <v>-65.669441</v>
      </c>
      <c r="AG1921" s="1">
        <v>-9.225555</v>
      </c>
      <c r="AH1921" s="1" t="s">
        <v>7918</v>
      </c>
      <c r="AI1921" s="1"/>
      <c r="AJ1921" s="1" t="s">
        <v>172</v>
      </c>
      <c r="AK1921" s="1"/>
      <c r="AL1921" s="1"/>
      <c r="AM1921" s="1" t="s">
        <v>65</v>
      </c>
      <c r="AN1921" s="1" t="s">
        <v>6258</v>
      </c>
      <c r="AO1921" s="1"/>
      <c r="AP1921" s="2">
        <v>44237.7933449074</v>
      </c>
      <c r="AQ1921" s="1"/>
      <c r="AR1921" s="1" t="s">
        <v>4315</v>
      </c>
      <c r="AS1921" s="1"/>
      <c r="AT1921" s="2">
        <v>44269.931099537</v>
      </c>
    </row>
    <row r="1922" ht="13.5" customHeight="1">
      <c r="A1922" s="1"/>
      <c r="B1922" s="1" t="s">
        <v>46</v>
      </c>
      <c r="C1922" s="1" t="s">
        <v>47</v>
      </c>
      <c r="D1922" s="1"/>
      <c r="E1922" s="1" t="s">
        <v>7919</v>
      </c>
      <c r="F1922" s="1"/>
      <c r="G1922" s="1"/>
      <c r="H1922" s="1" t="s">
        <v>93</v>
      </c>
      <c r="I1922" s="1">
        <v>55000.0</v>
      </c>
      <c r="J1922" s="1"/>
      <c r="K1922" s="1"/>
      <c r="L1922" s="1"/>
      <c r="M1922" s="1" t="s">
        <v>7920</v>
      </c>
      <c r="N1922" s="1" t="s">
        <v>142</v>
      </c>
      <c r="O1922" s="1" t="s">
        <v>143</v>
      </c>
      <c r="P1922" s="2">
        <v>43757.7548842593</v>
      </c>
      <c r="Q1922" s="1" t="s">
        <v>373</v>
      </c>
      <c r="R1922" s="1"/>
      <c r="S1922" s="1"/>
      <c r="T1922" s="1">
        <v>1200708.0</v>
      </c>
      <c r="U1922" s="1" t="s">
        <v>7921</v>
      </c>
      <c r="V1922" s="1" t="s">
        <v>498</v>
      </c>
      <c r="W1922" s="1" t="s">
        <v>177</v>
      </c>
      <c r="X1922" s="1"/>
      <c r="Y1922" s="1"/>
      <c r="Z1922" s="1" t="s">
        <v>147</v>
      </c>
      <c r="AA1922" s="1" t="s">
        <v>7922</v>
      </c>
      <c r="AB1922" s="1" t="str">
        <f>"***865352**"</f>
        <v>***865352**</v>
      </c>
      <c r="AC1922" s="1"/>
      <c r="AD1922" s="1" t="s">
        <v>116</v>
      </c>
      <c r="AE1922" s="1"/>
      <c r="AF1922" s="1">
        <v>-68.754166</v>
      </c>
      <c r="AG1922" s="1">
        <v>-10.639723</v>
      </c>
      <c r="AH1922" s="1" t="s">
        <v>7923</v>
      </c>
      <c r="AI1922" s="1"/>
      <c r="AJ1922" s="1" t="s">
        <v>172</v>
      </c>
      <c r="AK1922" s="1"/>
      <c r="AL1922" s="1"/>
      <c r="AM1922" s="1" t="s">
        <v>65</v>
      </c>
      <c r="AN1922" s="1" t="s">
        <v>6258</v>
      </c>
      <c r="AO1922" s="1"/>
      <c r="AP1922" s="2">
        <v>43759.6304050926</v>
      </c>
      <c r="AQ1922" s="1"/>
      <c r="AR1922" s="1" t="s">
        <v>3478</v>
      </c>
      <c r="AS1922" s="1"/>
      <c r="AT1922" s="2">
        <v>44269.931099537</v>
      </c>
    </row>
    <row r="1923" ht="13.5" customHeight="1">
      <c r="A1923" s="1">
        <v>2044257.0</v>
      </c>
      <c r="B1923" s="1" t="s">
        <v>67</v>
      </c>
      <c r="C1923" s="1" t="s">
        <v>68</v>
      </c>
      <c r="D1923" s="1" t="s">
        <v>46</v>
      </c>
      <c r="E1923" s="1" t="s">
        <v>7924</v>
      </c>
      <c r="F1923" s="1"/>
      <c r="G1923" s="1" t="s">
        <v>70</v>
      </c>
      <c r="H1923" s="1" t="s">
        <v>93</v>
      </c>
      <c r="I1923" s="1">
        <v>455000.0</v>
      </c>
      <c r="J1923" s="1"/>
      <c r="K1923" s="1"/>
      <c r="L1923" s="1" t="s">
        <v>172</v>
      </c>
      <c r="M1923" s="1" t="s">
        <v>7925</v>
      </c>
      <c r="N1923" s="1" t="s">
        <v>142</v>
      </c>
      <c r="O1923" s="1" t="s">
        <v>143</v>
      </c>
      <c r="P1923" s="2">
        <v>43757.7083333333</v>
      </c>
      <c r="Q1923" s="1" t="s">
        <v>74</v>
      </c>
      <c r="R1923" s="1"/>
      <c r="S1923" s="1"/>
      <c r="T1923" s="1">
        <v>1200450.0</v>
      </c>
      <c r="U1923" s="1" t="s">
        <v>7926</v>
      </c>
      <c r="V1923" s="1" t="s">
        <v>498</v>
      </c>
      <c r="W1923" s="1" t="s">
        <v>177</v>
      </c>
      <c r="X1923" s="1"/>
      <c r="Y1923" s="1" t="str">
        <f>"02001003656202051"</f>
        <v>02001003656202051</v>
      </c>
      <c r="Z1923" s="1" t="s">
        <v>147</v>
      </c>
      <c r="AA1923" s="1" t="s">
        <v>7927</v>
      </c>
      <c r="AB1923" s="1" t="str">
        <f>"***387601**"</f>
        <v>***387601**</v>
      </c>
      <c r="AC1923" s="1"/>
      <c r="AD1923" s="1"/>
      <c r="AE1923" s="1"/>
      <c r="AF1923" s="1">
        <v>-67.65889</v>
      </c>
      <c r="AG1923" s="1">
        <v>-10.353333</v>
      </c>
      <c r="AH1923" s="1" t="s">
        <v>7928</v>
      </c>
      <c r="AI1923" s="1"/>
      <c r="AJ1923" s="1" t="s">
        <v>172</v>
      </c>
      <c r="AK1923" s="1"/>
      <c r="AL1923" s="1" t="s">
        <v>79</v>
      </c>
      <c r="AM1923" s="1" t="s">
        <v>65</v>
      </c>
      <c r="AN1923" s="1" t="s">
        <v>6258</v>
      </c>
      <c r="AO1923" s="2">
        <v>44266.0</v>
      </c>
      <c r="AP1923" s="2">
        <v>44266.5292939815</v>
      </c>
      <c r="AQ1923" s="1" t="s">
        <v>80</v>
      </c>
      <c r="AR1923" s="1" t="s">
        <v>451</v>
      </c>
      <c r="AS1923" s="1"/>
      <c r="AT1923" s="2">
        <v>44269.931099537</v>
      </c>
    </row>
    <row r="1924" ht="13.5" customHeight="1">
      <c r="A1924" s="1"/>
      <c r="B1924" s="1" t="s">
        <v>46</v>
      </c>
      <c r="C1924" s="1" t="s">
        <v>47</v>
      </c>
      <c r="D1924" s="1"/>
      <c r="E1924" s="1" t="s">
        <v>7929</v>
      </c>
      <c r="F1924" s="1"/>
      <c r="G1924" s="1" t="s">
        <v>49</v>
      </c>
      <c r="H1924" s="1" t="s">
        <v>93</v>
      </c>
      <c r="I1924" s="1">
        <v>179800.0</v>
      </c>
      <c r="J1924" s="1"/>
      <c r="K1924" s="1"/>
      <c r="L1924" s="1"/>
      <c r="M1924" s="1" t="s">
        <v>7930</v>
      </c>
      <c r="N1924" s="1" t="s">
        <v>142</v>
      </c>
      <c r="O1924" s="1" t="s">
        <v>143</v>
      </c>
      <c r="P1924" s="2">
        <v>43757.6304398148</v>
      </c>
      <c r="Q1924" s="1" t="s">
        <v>74</v>
      </c>
      <c r="R1924" s="3">
        <v>43783.0</v>
      </c>
      <c r="S1924" s="1"/>
      <c r="T1924" s="1">
        <v>1302405.0</v>
      </c>
      <c r="U1924" s="1" t="s">
        <v>2258</v>
      </c>
      <c r="V1924" s="1" t="s">
        <v>486</v>
      </c>
      <c r="W1924" s="1" t="s">
        <v>177</v>
      </c>
      <c r="X1924" s="1"/>
      <c r="Y1924" s="1"/>
      <c r="Z1924" s="1" t="s">
        <v>147</v>
      </c>
      <c r="AA1924" s="1" t="s">
        <v>7931</v>
      </c>
      <c r="AB1924" s="1" t="str">
        <f>"***194702**"</f>
        <v>***194702**</v>
      </c>
      <c r="AC1924" s="1"/>
      <c r="AD1924" s="1" t="s">
        <v>116</v>
      </c>
      <c r="AE1924" s="1"/>
      <c r="AF1924" s="1">
        <v>-65.556946</v>
      </c>
      <c r="AG1924" s="1">
        <v>-9.157222</v>
      </c>
      <c r="AH1924" s="1" t="s">
        <v>7932</v>
      </c>
      <c r="AI1924" s="1"/>
      <c r="AJ1924" s="1" t="s">
        <v>172</v>
      </c>
      <c r="AK1924" s="1"/>
      <c r="AL1924" s="1"/>
      <c r="AM1924" s="1" t="s">
        <v>65</v>
      </c>
      <c r="AN1924" s="1" t="s">
        <v>6258</v>
      </c>
      <c r="AO1924" s="1"/>
      <c r="AP1924" s="2">
        <v>44032.5245949074</v>
      </c>
      <c r="AQ1924" s="1"/>
      <c r="AR1924" s="1" t="s">
        <v>644</v>
      </c>
      <c r="AS1924" s="1"/>
      <c r="AT1924" s="2">
        <v>44269.931099537</v>
      </c>
    </row>
    <row r="1925" ht="13.5" customHeight="1">
      <c r="A1925" s="1">
        <v>2043426.0</v>
      </c>
      <c r="B1925" s="1" t="s">
        <v>67</v>
      </c>
      <c r="C1925" s="1" t="s">
        <v>68</v>
      </c>
      <c r="D1925" s="1" t="s">
        <v>46</v>
      </c>
      <c r="E1925" s="1" t="s">
        <v>7933</v>
      </c>
      <c r="F1925" s="1"/>
      <c r="G1925" s="1" t="s">
        <v>70</v>
      </c>
      <c r="H1925" s="1" t="s">
        <v>93</v>
      </c>
      <c r="I1925" s="1">
        <v>2000.0</v>
      </c>
      <c r="J1925" s="1"/>
      <c r="K1925" s="1"/>
      <c r="L1925" s="1" t="s">
        <v>172</v>
      </c>
      <c r="M1925" s="1" t="s">
        <v>7934</v>
      </c>
      <c r="N1925" s="1" t="s">
        <v>283</v>
      </c>
      <c r="O1925" s="1" t="s">
        <v>1133</v>
      </c>
      <c r="P1925" s="2">
        <v>43757.625</v>
      </c>
      <c r="Q1925" s="1" t="s">
        <v>74</v>
      </c>
      <c r="R1925" s="3">
        <v>43758.0</v>
      </c>
      <c r="S1925" s="1"/>
      <c r="T1925" s="1">
        <v>1302405.0</v>
      </c>
      <c r="U1925" s="1" t="s">
        <v>2258</v>
      </c>
      <c r="V1925" s="1" t="s">
        <v>486</v>
      </c>
      <c r="W1925" s="1" t="s">
        <v>177</v>
      </c>
      <c r="X1925" s="1"/>
      <c r="Y1925" s="1" t="str">
        <f>"02001036386201921"</f>
        <v>02001036386201921</v>
      </c>
      <c r="Z1925" s="1" t="s">
        <v>128</v>
      </c>
      <c r="AA1925" s="1" t="s">
        <v>7917</v>
      </c>
      <c r="AB1925" s="1" t="str">
        <f>"***009462**"</f>
        <v>***009462**</v>
      </c>
      <c r="AC1925" s="1"/>
      <c r="AD1925" s="1"/>
      <c r="AE1925" s="1"/>
      <c r="AF1925" s="1">
        <v>-65.625282</v>
      </c>
      <c r="AG1925" s="1">
        <v>-9.233611</v>
      </c>
      <c r="AH1925" s="1" t="s">
        <v>7935</v>
      </c>
      <c r="AI1925" s="1"/>
      <c r="AJ1925" s="1" t="s">
        <v>172</v>
      </c>
      <c r="AK1925" s="1"/>
      <c r="AL1925" s="1" t="s">
        <v>79</v>
      </c>
      <c r="AM1925" s="1" t="s">
        <v>65</v>
      </c>
      <c r="AN1925" s="1" t="s">
        <v>6258</v>
      </c>
      <c r="AO1925" s="2">
        <v>44237.0</v>
      </c>
      <c r="AP1925" s="2">
        <v>44237.808125</v>
      </c>
      <c r="AQ1925" s="1" t="s">
        <v>80</v>
      </c>
      <c r="AR1925" s="1" t="s">
        <v>4297</v>
      </c>
      <c r="AS1925" s="1"/>
      <c r="AT1925" s="2">
        <v>44269.931099537</v>
      </c>
    </row>
    <row r="1926" ht="13.5" customHeight="1">
      <c r="A1926" s="1"/>
      <c r="B1926" s="1" t="s">
        <v>46</v>
      </c>
      <c r="C1926" s="1" t="s">
        <v>47</v>
      </c>
      <c r="D1926" s="1"/>
      <c r="E1926" s="1" t="s">
        <v>7936</v>
      </c>
      <c r="F1926" s="1"/>
      <c r="G1926" s="1"/>
      <c r="H1926" s="1" t="s">
        <v>93</v>
      </c>
      <c r="I1926" s="1">
        <v>88000.0</v>
      </c>
      <c r="J1926" s="1"/>
      <c r="K1926" s="1"/>
      <c r="L1926" s="1"/>
      <c r="M1926" s="1" t="s">
        <v>7937</v>
      </c>
      <c r="N1926" s="1" t="s">
        <v>142</v>
      </c>
      <c r="O1926" s="1" t="s">
        <v>143</v>
      </c>
      <c r="P1926" s="2">
        <v>43757.4595833333</v>
      </c>
      <c r="Q1926" s="1" t="s">
        <v>74</v>
      </c>
      <c r="R1926" s="3">
        <v>43761.0</v>
      </c>
      <c r="S1926" s="1"/>
      <c r="T1926" s="1">
        <v>5006606.0</v>
      </c>
      <c r="U1926" s="1" t="s">
        <v>4194</v>
      </c>
      <c r="V1926" s="1" t="s">
        <v>529</v>
      </c>
      <c r="W1926" s="1" t="s">
        <v>59</v>
      </c>
      <c r="X1926" s="1"/>
      <c r="Y1926" s="1"/>
      <c r="Z1926" s="1" t="s">
        <v>147</v>
      </c>
      <c r="AA1926" s="1" t="s">
        <v>7938</v>
      </c>
      <c r="AB1926" s="1" t="str">
        <f>"36775922000118"</f>
        <v>36775922000118</v>
      </c>
      <c r="AC1926" s="1"/>
      <c r="AD1926" s="1" t="s">
        <v>116</v>
      </c>
      <c r="AE1926" s="1"/>
      <c r="AF1926" s="1">
        <v>-55.655556</v>
      </c>
      <c r="AG1926" s="1">
        <v>-22.280001</v>
      </c>
      <c r="AH1926" s="1" t="s">
        <v>7939</v>
      </c>
      <c r="AI1926" s="1"/>
      <c r="AJ1926" s="1" t="s">
        <v>533</v>
      </c>
      <c r="AK1926" s="1"/>
      <c r="AL1926" s="1"/>
      <c r="AM1926" s="1" t="s">
        <v>65</v>
      </c>
      <c r="AN1926" s="1" t="s">
        <v>534</v>
      </c>
      <c r="AO1926" s="1"/>
      <c r="AP1926" s="2">
        <v>43757.524849537</v>
      </c>
      <c r="AQ1926" s="1"/>
      <c r="AR1926" s="1" t="s">
        <v>1746</v>
      </c>
      <c r="AS1926" s="1"/>
      <c r="AT1926" s="2">
        <v>44269.931099537</v>
      </c>
    </row>
    <row r="1927" ht="13.5" customHeight="1">
      <c r="A1927" s="1">
        <v>2035732.0</v>
      </c>
      <c r="B1927" s="1" t="s">
        <v>67</v>
      </c>
      <c r="C1927" s="1" t="s">
        <v>68</v>
      </c>
      <c r="D1927" s="1" t="s">
        <v>46</v>
      </c>
      <c r="E1927" s="1" t="s">
        <v>7940</v>
      </c>
      <c r="F1927" s="1"/>
      <c r="G1927" s="1" t="s">
        <v>70</v>
      </c>
      <c r="H1927" s="1" t="s">
        <v>93</v>
      </c>
      <c r="I1927" s="1">
        <v>375000.0</v>
      </c>
      <c r="J1927" s="1"/>
      <c r="K1927" s="1"/>
      <c r="L1927" s="1" t="s">
        <v>172</v>
      </c>
      <c r="M1927" s="1" t="s">
        <v>7941</v>
      </c>
      <c r="N1927" s="1" t="s">
        <v>142</v>
      </c>
      <c r="O1927" s="1" t="s">
        <v>143</v>
      </c>
      <c r="P1927" s="2">
        <v>43757.4583333333</v>
      </c>
      <c r="Q1927" s="1" t="s">
        <v>74</v>
      </c>
      <c r="R1927" s="3">
        <v>43756.0</v>
      </c>
      <c r="S1927" s="1"/>
      <c r="T1927" s="1">
        <v>5100805.0</v>
      </c>
      <c r="U1927" s="1" t="s">
        <v>5697</v>
      </c>
      <c r="V1927" s="1" t="s">
        <v>164</v>
      </c>
      <c r="W1927" s="1" t="s">
        <v>177</v>
      </c>
      <c r="X1927" s="1"/>
      <c r="Y1927" s="1" t="str">
        <f>"02001008532202062"</f>
        <v>02001008532202062</v>
      </c>
      <c r="Z1927" s="1" t="s">
        <v>147</v>
      </c>
      <c r="AA1927" s="1" t="s">
        <v>7942</v>
      </c>
      <c r="AB1927" s="1" t="str">
        <f>"***402799**"</f>
        <v>***402799**</v>
      </c>
      <c r="AC1927" s="1"/>
      <c r="AD1927" s="1"/>
      <c r="AE1927" s="1"/>
      <c r="AF1927" s="1">
        <v>-57.603054</v>
      </c>
      <c r="AG1927" s="1">
        <v>-9.335</v>
      </c>
      <c r="AH1927" s="1" t="s">
        <v>7943</v>
      </c>
      <c r="AI1927" s="1"/>
      <c r="AJ1927" s="1" t="s">
        <v>172</v>
      </c>
      <c r="AK1927" s="1"/>
      <c r="AL1927" s="1" t="s">
        <v>79</v>
      </c>
      <c r="AM1927" s="1" t="s">
        <v>65</v>
      </c>
      <c r="AN1927" s="1" t="s">
        <v>6258</v>
      </c>
      <c r="AO1927" s="2">
        <v>43916.0</v>
      </c>
      <c r="AP1927" s="2">
        <v>43916.4369328704</v>
      </c>
      <c r="AQ1927" s="1" t="s">
        <v>80</v>
      </c>
      <c r="AR1927" s="1" t="s">
        <v>636</v>
      </c>
      <c r="AS1927" s="1"/>
      <c r="AT1927" s="2">
        <v>44269.931099537</v>
      </c>
    </row>
    <row r="1928" ht="13.5" customHeight="1">
      <c r="A1928" s="1">
        <v>2038848.0</v>
      </c>
      <c r="B1928" s="1" t="s">
        <v>67</v>
      </c>
      <c r="C1928" s="1" t="s">
        <v>68</v>
      </c>
      <c r="D1928" s="1" t="s">
        <v>46</v>
      </c>
      <c r="E1928" s="1" t="s">
        <v>7944</v>
      </c>
      <c r="F1928" s="1"/>
      <c r="G1928" s="1" t="s">
        <v>70</v>
      </c>
      <c r="H1928" s="1" t="s">
        <v>93</v>
      </c>
      <c r="I1928" s="1">
        <v>1185000.0</v>
      </c>
      <c r="J1928" s="1"/>
      <c r="K1928" s="1"/>
      <c r="L1928" s="1" t="s">
        <v>172</v>
      </c>
      <c r="M1928" s="1" t="s">
        <v>7945</v>
      </c>
      <c r="N1928" s="1" t="s">
        <v>142</v>
      </c>
      <c r="O1928" s="1" t="s">
        <v>143</v>
      </c>
      <c r="P1928" s="2">
        <v>43757.4583333333</v>
      </c>
      <c r="Q1928" s="1" t="s">
        <v>74</v>
      </c>
      <c r="R1928" s="3">
        <v>43756.0</v>
      </c>
      <c r="S1928" s="1"/>
      <c r="T1928" s="1">
        <v>1500602.0</v>
      </c>
      <c r="U1928" s="1" t="s">
        <v>5135</v>
      </c>
      <c r="V1928" s="1" t="s">
        <v>193</v>
      </c>
      <c r="W1928" s="1" t="s">
        <v>177</v>
      </c>
      <c r="X1928" s="1"/>
      <c r="Y1928" s="1" t="str">
        <f>"02001017765202056"</f>
        <v>02001017765202056</v>
      </c>
      <c r="Z1928" s="1" t="s">
        <v>147</v>
      </c>
      <c r="AA1928" s="1" t="s">
        <v>7946</v>
      </c>
      <c r="AB1928" s="1" t="str">
        <f>"***983802**"</f>
        <v>***983802**</v>
      </c>
      <c r="AC1928" s="1"/>
      <c r="AD1928" s="1"/>
      <c r="AE1928" s="1"/>
      <c r="AF1928" s="1">
        <v>-55.990833</v>
      </c>
      <c r="AG1928" s="1">
        <v>-6.463611</v>
      </c>
      <c r="AH1928" s="1" t="s">
        <v>7947</v>
      </c>
      <c r="AI1928" s="1"/>
      <c r="AJ1928" s="1" t="s">
        <v>172</v>
      </c>
      <c r="AK1928" s="1"/>
      <c r="AL1928" s="1" t="s">
        <v>79</v>
      </c>
      <c r="AM1928" s="1" t="s">
        <v>65</v>
      </c>
      <c r="AN1928" s="1" t="s">
        <v>6258</v>
      </c>
      <c r="AO1928" s="2">
        <v>44047.0</v>
      </c>
      <c r="AP1928" s="2">
        <v>44047.3540625</v>
      </c>
      <c r="AQ1928" s="1" t="s">
        <v>80</v>
      </c>
      <c r="AR1928" s="1" t="s">
        <v>650</v>
      </c>
      <c r="AS1928" s="1"/>
      <c r="AT1928" s="2">
        <v>44269.931099537</v>
      </c>
    </row>
    <row r="1929" ht="13.5" customHeight="1">
      <c r="A1929" s="1"/>
      <c r="B1929" s="1" t="s">
        <v>46</v>
      </c>
      <c r="C1929" s="1" t="s">
        <v>47</v>
      </c>
      <c r="D1929" s="1"/>
      <c r="E1929" s="1" t="s">
        <v>7948</v>
      </c>
      <c r="F1929" s="1"/>
      <c r="G1929" s="1"/>
      <c r="H1929" s="1" t="s">
        <v>93</v>
      </c>
      <c r="I1929" s="1">
        <v>820000.0</v>
      </c>
      <c r="J1929" s="1"/>
      <c r="K1929" s="1"/>
      <c r="L1929" s="1"/>
      <c r="M1929" s="1" t="s">
        <v>7949</v>
      </c>
      <c r="N1929" s="1" t="s">
        <v>95</v>
      </c>
      <c r="O1929" s="1" t="s">
        <v>96</v>
      </c>
      <c r="P1929" s="2">
        <v>43757.4426157407</v>
      </c>
      <c r="Q1929" s="1" t="s">
        <v>373</v>
      </c>
      <c r="R1929" s="1"/>
      <c r="S1929" s="1"/>
      <c r="T1929" s="1">
        <v>3106200.0</v>
      </c>
      <c r="U1929" s="1" t="s">
        <v>2933</v>
      </c>
      <c r="V1929" s="1" t="s">
        <v>126</v>
      </c>
      <c r="W1929" s="1" t="s">
        <v>127</v>
      </c>
      <c r="X1929" s="1"/>
      <c r="Y1929" s="1"/>
      <c r="Z1929" s="1" t="s">
        <v>98</v>
      </c>
      <c r="AA1929" s="1" t="s">
        <v>6314</v>
      </c>
      <c r="AB1929" s="1" t="str">
        <f>"***130626**"</f>
        <v>***130626**</v>
      </c>
      <c r="AC1929" s="1"/>
      <c r="AD1929" s="1" t="s">
        <v>62</v>
      </c>
      <c r="AE1929" s="1"/>
      <c r="AF1929" s="1">
        <v>-43.951668</v>
      </c>
      <c r="AG1929" s="1">
        <v>-19.934721</v>
      </c>
      <c r="AH1929" s="1" t="s">
        <v>7950</v>
      </c>
      <c r="AI1929" s="1"/>
      <c r="AJ1929" s="1" t="s">
        <v>131</v>
      </c>
      <c r="AK1929" s="1"/>
      <c r="AL1929" s="1"/>
      <c r="AM1929" s="1" t="s">
        <v>65</v>
      </c>
      <c r="AN1929" s="1" t="s">
        <v>6316</v>
      </c>
      <c r="AO1929" s="1"/>
      <c r="AP1929" s="2">
        <v>43757.4725694445</v>
      </c>
      <c r="AQ1929" s="1"/>
      <c r="AR1929" s="1" t="s">
        <v>903</v>
      </c>
      <c r="AS1929" s="1"/>
      <c r="AT1929" s="2">
        <v>44269.931099537</v>
      </c>
    </row>
    <row r="1930" ht="13.5" customHeight="1">
      <c r="A1930" s="1">
        <v>2035133.0</v>
      </c>
      <c r="B1930" s="1" t="s">
        <v>67</v>
      </c>
      <c r="C1930" s="1" t="s">
        <v>68</v>
      </c>
      <c r="D1930" s="1" t="s">
        <v>46</v>
      </c>
      <c r="E1930" s="1" t="s">
        <v>7951</v>
      </c>
      <c r="F1930" s="1"/>
      <c r="G1930" s="1" t="s">
        <v>70</v>
      </c>
      <c r="H1930" s="1" t="s">
        <v>93</v>
      </c>
      <c r="I1930" s="1">
        <v>285000.0</v>
      </c>
      <c r="J1930" s="1"/>
      <c r="K1930" s="1"/>
      <c r="L1930" s="1" t="s">
        <v>172</v>
      </c>
      <c r="M1930" s="1" t="s">
        <v>7952</v>
      </c>
      <c r="N1930" s="1" t="s">
        <v>142</v>
      </c>
      <c r="O1930" s="1" t="s">
        <v>143</v>
      </c>
      <c r="P1930" s="2">
        <v>43757.2083333333</v>
      </c>
      <c r="Q1930" s="1" t="s">
        <v>373</v>
      </c>
      <c r="R1930" s="3">
        <v>43757.0</v>
      </c>
      <c r="S1930" s="1"/>
      <c r="T1930" s="1">
        <v>5106158.0</v>
      </c>
      <c r="U1930" s="1" t="s">
        <v>1700</v>
      </c>
      <c r="V1930" s="1" t="s">
        <v>164</v>
      </c>
      <c r="W1930" s="1" t="s">
        <v>177</v>
      </c>
      <c r="X1930" s="1"/>
      <c r="Y1930" s="1" t="str">
        <f>"02001006085202015"</f>
        <v>02001006085202015</v>
      </c>
      <c r="Z1930" s="1" t="s">
        <v>147</v>
      </c>
      <c r="AA1930" s="1" t="s">
        <v>7953</v>
      </c>
      <c r="AB1930" s="1" t="str">
        <f>"***148031**"</f>
        <v>***148031**</v>
      </c>
      <c r="AC1930" s="1"/>
      <c r="AD1930" s="1"/>
      <c r="AE1930" s="1"/>
      <c r="AF1930" s="1">
        <v>-57.955555</v>
      </c>
      <c r="AG1930" s="1">
        <v>-9.968056</v>
      </c>
      <c r="AH1930" s="1" t="s">
        <v>7954</v>
      </c>
      <c r="AI1930" s="1"/>
      <c r="AJ1930" s="1" t="s">
        <v>172</v>
      </c>
      <c r="AK1930" s="1"/>
      <c r="AL1930" s="1" t="s">
        <v>79</v>
      </c>
      <c r="AM1930" s="1" t="s">
        <v>65</v>
      </c>
      <c r="AN1930" s="1" t="s">
        <v>6258</v>
      </c>
      <c r="AO1930" s="2">
        <v>43895.0</v>
      </c>
      <c r="AP1930" s="2">
        <v>43895.7038425926</v>
      </c>
      <c r="AQ1930" s="1" t="s">
        <v>80</v>
      </c>
      <c r="AR1930" s="1" t="s">
        <v>636</v>
      </c>
      <c r="AS1930" s="1"/>
      <c r="AT1930" s="2">
        <v>44269.931099537</v>
      </c>
    </row>
    <row r="1931" ht="13.5" customHeight="1">
      <c r="A1931" s="1"/>
      <c r="B1931" s="1" t="s">
        <v>46</v>
      </c>
      <c r="C1931" s="1" t="s">
        <v>47</v>
      </c>
      <c r="D1931" s="1"/>
      <c r="E1931" s="1" t="s">
        <v>7955</v>
      </c>
      <c r="F1931" s="1"/>
      <c r="G1931" s="1" t="s">
        <v>49</v>
      </c>
      <c r="H1931" s="1" t="s">
        <v>93</v>
      </c>
      <c r="I1931" s="1">
        <v>45000.0</v>
      </c>
      <c r="J1931" s="1"/>
      <c r="K1931" s="1"/>
      <c r="L1931" s="1"/>
      <c r="M1931" s="1" t="s">
        <v>7956</v>
      </c>
      <c r="N1931" s="1" t="s">
        <v>142</v>
      </c>
      <c r="O1931" s="1" t="s">
        <v>143</v>
      </c>
      <c r="P1931" s="2">
        <v>43756.8910069444</v>
      </c>
      <c r="Q1931" s="1" t="s">
        <v>373</v>
      </c>
      <c r="R1931" s="1"/>
      <c r="S1931" s="1"/>
      <c r="T1931" s="1">
        <v>1200708.0</v>
      </c>
      <c r="U1931" s="1" t="s">
        <v>7921</v>
      </c>
      <c r="V1931" s="1" t="s">
        <v>498</v>
      </c>
      <c r="W1931" s="1" t="s">
        <v>177</v>
      </c>
      <c r="X1931" s="1"/>
      <c r="Y1931" s="1"/>
      <c r="Z1931" s="1" t="s">
        <v>147</v>
      </c>
      <c r="AA1931" s="1" t="s">
        <v>7957</v>
      </c>
      <c r="AB1931" s="1" t="str">
        <f>"***868002**"</f>
        <v>***868002**</v>
      </c>
      <c r="AC1931" s="1"/>
      <c r="AD1931" s="1" t="s">
        <v>116</v>
      </c>
      <c r="AE1931" s="1"/>
      <c r="AF1931" s="1">
        <v>-68.784996</v>
      </c>
      <c r="AG1931" s="1">
        <v>-10.615278</v>
      </c>
      <c r="AH1931" s="1" t="s">
        <v>7958</v>
      </c>
      <c r="AI1931" s="1"/>
      <c r="AJ1931" s="1" t="s">
        <v>172</v>
      </c>
      <c r="AK1931" s="1"/>
      <c r="AL1931" s="1"/>
      <c r="AM1931" s="1" t="s">
        <v>65</v>
      </c>
      <c r="AN1931" s="1" t="s">
        <v>6258</v>
      </c>
      <c r="AO1931" s="1"/>
      <c r="AP1931" s="2">
        <v>44021.5870601852</v>
      </c>
      <c r="AQ1931" s="1"/>
      <c r="AR1931" s="1" t="s">
        <v>3478</v>
      </c>
      <c r="AS1931" s="1"/>
      <c r="AT1931" s="2">
        <v>44269.931099537</v>
      </c>
    </row>
    <row r="1932" ht="13.5" customHeight="1">
      <c r="A1932" s="1"/>
      <c r="B1932" s="1" t="s">
        <v>46</v>
      </c>
      <c r="C1932" s="1" t="s">
        <v>47</v>
      </c>
      <c r="D1932" s="1"/>
      <c r="E1932" s="1" t="s">
        <v>7959</v>
      </c>
      <c r="F1932" s="1"/>
      <c r="G1932" s="1" t="s">
        <v>49</v>
      </c>
      <c r="H1932" s="1" t="s">
        <v>50</v>
      </c>
      <c r="I1932" s="1">
        <v>5000.0</v>
      </c>
      <c r="J1932" s="1"/>
      <c r="K1932" s="1" t="s">
        <v>51</v>
      </c>
      <c r="L1932" s="1"/>
      <c r="M1932" s="1" t="s">
        <v>7960</v>
      </c>
      <c r="N1932" s="1" t="s">
        <v>108</v>
      </c>
      <c r="O1932" s="1" t="s">
        <v>109</v>
      </c>
      <c r="P1932" s="2">
        <v>43756.8790277778</v>
      </c>
      <c r="Q1932" s="1"/>
      <c r="R1932" s="1"/>
      <c r="S1932" s="1"/>
      <c r="T1932" s="1">
        <v>2616183.0</v>
      </c>
      <c r="U1932" s="1" t="s">
        <v>7961</v>
      </c>
      <c r="V1932" s="1" t="s">
        <v>1037</v>
      </c>
      <c r="W1932" s="1" t="s">
        <v>113</v>
      </c>
      <c r="X1932" s="1"/>
      <c r="Y1932" s="1"/>
      <c r="Z1932" s="1" t="s">
        <v>226</v>
      </c>
      <c r="AA1932" s="1" t="s">
        <v>7962</v>
      </c>
      <c r="AB1932" s="1" t="str">
        <f>"09015405000178"</f>
        <v>09015405000178</v>
      </c>
      <c r="AC1932" s="1"/>
      <c r="AD1932" s="1" t="s">
        <v>149</v>
      </c>
      <c r="AE1932" s="1"/>
      <c r="AF1932" s="1">
        <v>-35.933889</v>
      </c>
      <c r="AG1932" s="1">
        <v>-7.246111</v>
      </c>
      <c r="AH1932" s="1" t="s">
        <v>7963</v>
      </c>
      <c r="AI1932" s="1"/>
      <c r="AJ1932" s="1" t="s">
        <v>731</v>
      </c>
      <c r="AK1932" s="1"/>
      <c r="AL1932" s="1"/>
      <c r="AM1932" s="1" t="s">
        <v>65</v>
      </c>
      <c r="AN1932" s="1" t="s">
        <v>5939</v>
      </c>
      <c r="AO1932" s="1"/>
      <c r="AP1932" s="2">
        <v>44266.7203009259</v>
      </c>
      <c r="AQ1932" s="1"/>
      <c r="AR1932" s="1" t="s">
        <v>153</v>
      </c>
      <c r="AS1932" s="1"/>
      <c r="AT1932" s="2">
        <v>44269.931099537</v>
      </c>
    </row>
    <row r="1933" ht="13.5" customHeight="1">
      <c r="A1933" s="1"/>
      <c r="B1933" s="1" t="s">
        <v>46</v>
      </c>
      <c r="C1933" s="1" t="s">
        <v>657</v>
      </c>
      <c r="D1933" s="1" t="s">
        <v>67</v>
      </c>
      <c r="E1933" s="1" t="s">
        <v>7964</v>
      </c>
      <c r="F1933" s="1"/>
      <c r="G1933" s="1"/>
      <c r="H1933" s="1" t="s">
        <v>93</v>
      </c>
      <c r="I1933" s="1">
        <v>7730000.0</v>
      </c>
      <c r="J1933" s="1"/>
      <c r="K1933" s="1"/>
      <c r="L1933" s="1"/>
      <c r="M1933" s="1" t="s">
        <v>7965</v>
      </c>
      <c r="N1933" s="1" t="s">
        <v>142</v>
      </c>
      <c r="O1933" s="1" t="s">
        <v>143</v>
      </c>
      <c r="P1933" s="2">
        <v>43756.8680439815</v>
      </c>
      <c r="Q1933" s="1" t="s">
        <v>74</v>
      </c>
      <c r="R1933" s="1"/>
      <c r="S1933" s="1"/>
      <c r="T1933" s="1">
        <v>1500602.0</v>
      </c>
      <c r="U1933" s="1" t="s">
        <v>5135</v>
      </c>
      <c r="V1933" s="1" t="s">
        <v>193</v>
      </c>
      <c r="W1933" s="1" t="s">
        <v>177</v>
      </c>
      <c r="X1933" s="1"/>
      <c r="Y1933" s="1"/>
      <c r="Z1933" s="1" t="s">
        <v>147</v>
      </c>
      <c r="AA1933" s="1" t="s">
        <v>7677</v>
      </c>
      <c r="AB1933" s="1" t="str">
        <f>"***777866**"</f>
        <v>***777866**</v>
      </c>
      <c r="AC1933" s="1"/>
      <c r="AD1933" s="1" t="s">
        <v>116</v>
      </c>
      <c r="AE1933" s="1"/>
      <c r="AF1933" s="1">
        <v>-55.12611</v>
      </c>
      <c r="AG1933" s="1">
        <v>-6.573889</v>
      </c>
      <c r="AH1933" s="1" t="s">
        <v>7966</v>
      </c>
      <c r="AI1933" s="1"/>
      <c r="AJ1933" s="1" t="s">
        <v>172</v>
      </c>
      <c r="AK1933" s="1"/>
      <c r="AL1933" s="1"/>
      <c r="AM1933" s="1" t="s">
        <v>65</v>
      </c>
      <c r="AN1933" s="1" t="s">
        <v>6258</v>
      </c>
      <c r="AO1933" s="1"/>
      <c r="AP1933" s="2">
        <v>43756.899537037</v>
      </c>
      <c r="AQ1933" s="1"/>
      <c r="AR1933" s="1" t="s">
        <v>644</v>
      </c>
      <c r="AS1933" s="1"/>
      <c r="AT1933" s="2">
        <v>44269.931099537</v>
      </c>
    </row>
    <row r="1934" ht="13.5" customHeight="1">
      <c r="A1934" s="1"/>
      <c r="B1934" s="1" t="s">
        <v>46</v>
      </c>
      <c r="C1934" s="1" t="s">
        <v>657</v>
      </c>
      <c r="D1934" s="1" t="s">
        <v>67</v>
      </c>
      <c r="E1934" s="1" t="s">
        <v>7967</v>
      </c>
      <c r="F1934" s="1"/>
      <c r="G1934" s="1" t="s">
        <v>49</v>
      </c>
      <c r="H1934" s="1" t="s">
        <v>50</v>
      </c>
      <c r="I1934" s="1"/>
      <c r="J1934" s="1"/>
      <c r="K1934" s="1"/>
      <c r="L1934" s="1"/>
      <c r="M1934" s="1" t="s">
        <v>7968</v>
      </c>
      <c r="N1934" s="1" t="s">
        <v>142</v>
      </c>
      <c r="O1934" s="1" t="s">
        <v>143</v>
      </c>
      <c r="P1934" s="2">
        <v>43756.8503240741</v>
      </c>
      <c r="Q1934" s="1"/>
      <c r="R1934" s="1"/>
      <c r="S1934" s="1"/>
      <c r="T1934" s="1">
        <v>1200708.0</v>
      </c>
      <c r="U1934" s="1" t="s">
        <v>7921</v>
      </c>
      <c r="V1934" s="1" t="s">
        <v>498</v>
      </c>
      <c r="W1934" s="1" t="s">
        <v>177</v>
      </c>
      <c r="X1934" s="1"/>
      <c r="Y1934" s="1"/>
      <c r="Z1934" s="1" t="s">
        <v>147</v>
      </c>
      <c r="AA1934" s="1" t="s">
        <v>7969</v>
      </c>
      <c r="AB1934" s="1" t="str">
        <f>"***868002**"</f>
        <v>***868002**</v>
      </c>
      <c r="AC1934" s="1"/>
      <c r="AD1934" s="1" t="s">
        <v>116</v>
      </c>
      <c r="AE1934" s="1"/>
      <c r="AF1934" s="1">
        <v>-68.784996</v>
      </c>
      <c r="AG1934" s="1">
        <v>-10.615278</v>
      </c>
      <c r="AH1934" s="1" t="s">
        <v>7970</v>
      </c>
      <c r="AI1934" s="1"/>
      <c r="AJ1934" s="1" t="s">
        <v>172</v>
      </c>
      <c r="AK1934" s="1"/>
      <c r="AL1934" s="1"/>
      <c r="AM1934" s="1" t="s">
        <v>65</v>
      </c>
      <c r="AN1934" s="1" t="s">
        <v>6258</v>
      </c>
      <c r="AO1934" s="1"/>
      <c r="AP1934" s="2">
        <v>44021.5872800926</v>
      </c>
      <c r="AQ1934" s="1"/>
      <c r="AR1934" s="1" t="s">
        <v>644</v>
      </c>
      <c r="AS1934" s="1"/>
      <c r="AT1934" s="2">
        <v>44269.931099537</v>
      </c>
    </row>
    <row r="1935" ht="13.5" customHeight="1">
      <c r="A1935" s="1"/>
      <c r="B1935" s="1" t="s">
        <v>46</v>
      </c>
      <c r="C1935" s="1" t="s">
        <v>47</v>
      </c>
      <c r="D1935" s="1"/>
      <c r="E1935" s="1" t="s">
        <v>7971</v>
      </c>
      <c r="F1935" s="1"/>
      <c r="G1935" s="1" t="s">
        <v>49</v>
      </c>
      <c r="H1935" s="1" t="s">
        <v>93</v>
      </c>
      <c r="I1935" s="1">
        <v>14393.1</v>
      </c>
      <c r="J1935" s="1"/>
      <c r="K1935" s="1"/>
      <c r="L1935" s="1"/>
      <c r="M1935" s="1" t="s">
        <v>7972</v>
      </c>
      <c r="N1935" s="1" t="s">
        <v>142</v>
      </c>
      <c r="O1935" s="1" t="s">
        <v>143</v>
      </c>
      <c r="P1935" s="2">
        <v>43756.7793865741</v>
      </c>
      <c r="Q1935" s="1" t="s">
        <v>55</v>
      </c>
      <c r="R1935" s="1"/>
      <c r="S1935" s="1"/>
      <c r="T1935" s="1">
        <v>1400472.0</v>
      </c>
      <c r="U1935" s="1" t="s">
        <v>574</v>
      </c>
      <c r="V1935" s="1" t="s">
        <v>186</v>
      </c>
      <c r="W1935" s="1" t="s">
        <v>177</v>
      </c>
      <c r="X1935" s="1"/>
      <c r="Y1935" s="1"/>
      <c r="Z1935" s="1" t="s">
        <v>147</v>
      </c>
      <c r="AA1935" s="1" t="s">
        <v>7973</v>
      </c>
      <c r="AB1935" s="1" t="str">
        <f t="shared" ref="AB1935:AB1936" si="122">"11781324000120"</f>
        <v>11781324000120</v>
      </c>
      <c r="AC1935" s="1"/>
      <c r="AD1935" s="1" t="s">
        <v>62</v>
      </c>
      <c r="AE1935" s="1"/>
      <c r="AF1935" s="1">
        <v>-60.461391</v>
      </c>
      <c r="AG1935" s="1">
        <v>0.585833</v>
      </c>
      <c r="AH1935" s="1" t="s">
        <v>7974</v>
      </c>
      <c r="AI1935" s="1"/>
      <c r="AJ1935" s="1" t="s">
        <v>415</v>
      </c>
      <c r="AK1935" s="1"/>
      <c r="AL1935" s="1"/>
      <c r="AM1935" s="1" t="s">
        <v>65</v>
      </c>
      <c r="AN1935" s="1" t="s">
        <v>7975</v>
      </c>
      <c r="AO1935" s="1"/>
      <c r="AP1935" s="2">
        <v>44050.8728472222</v>
      </c>
      <c r="AQ1935" s="1"/>
      <c r="AR1935" s="1" t="s">
        <v>399</v>
      </c>
      <c r="AS1935" s="1"/>
      <c r="AT1935" s="2">
        <v>44269.931099537</v>
      </c>
    </row>
    <row r="1936" ht="13.5" customHeight="1">
      <c r="A1936" s="1"/>
      <c r="B1936" s="1" t="s">
        <v>46</v>
      </c>
      <c r="C1936" s="1" t="s">
        <v>47</v>
      </c>
      <c r="D1936" s="1"/>
      <c r="E1936" s="1" t="s">
        <v>7976</v>
      </c>
      <c r="F1936" s="1"/>
      <c r="G1936" s="1"/>
      <c r="H1936" s="1" t="s">
        <v>93</v>
      </c>
      <c r="I1936" s="1">
        <v>100500.0</v>
      </c>
      <c r="J1936" s="1"/>
      <c r="K1936" s="1" t="s">
        <v>140</v>
      </c>
      <c r="L1936" s="1"/>
      <c r="M1936" s="1" t="s">
        <v>7977</v>
      </c>
      <c r="N1936" s="1" t="s">
        <v>977</v>
      </c>
      <c r="O1936" s="1" t="s">
        <v>978</v>
      </c>
      <c r="P1936" s="2">
        <v>43756.7694675926</v>
      </c>
      <c r="Q1936" s="1" t="s">
        <v>55</v>
      </c>
      <c r="R1936" s="1"/>
      <c r="S1936" s="1"/>
      <c r="T1936" s="1">
        <v>1400472.0</v>
      </c>
      <c r="U1936" s="1" t="s">
        <v>574</v>
      </c>
      <c r="V1936" s="1" t="s">
        <v>186</v>
      </c>
      <c r="W1936" s="1" t="s">
        <v>177</v>
      </c>
      <c r="X1936" s="1"/>
      <c r="Y1936" s="1"/>
      <c r="Z1936" s="1" t="s">
        <v>980</v>
      </c>
      <c r="AA1936" s="1" t="s">
        <v>7973</v>
      </c>
      <c r="AB1936" s="1" t="str">
        <f t="shared" si="122"/>
        <v>11781324000120</v>
      </c>
      <c r="AC1936" s="1"/>
      <c r="AD1936" s="1" t="s">
        <v>149</v>
      </c>
      <c r="AE1936" s="1"/>
      <c r="AF1936" s="1">
        <v>-60.428059</v>
      </c>
      <c r="AG1936" s="1">
        <v>0.935278</v>
      </c>
      <c r="AH1936" s="1" t="s">
        <v>7978</v>
      </c>
      <c r="AI1936" s="1"/>
      <c r="AJ1936" s="1" t="s">
        <v>415</v>
      </c>
      <c r="AK1936" s="1"/>
      <c r="AL1936" s="1"/>
      <c r="AM1936" s="1" t="s">
        <v>65</v>
      </c>
      <c r="AN1936" s="1" t="s">
        <v>7975</v>
      </c>
      <c r="AO1936" s="1"/>
      <c r="AP1936" s="2">
        <v>43756.7895949074</v>
      </c>
      <c r="AQ1936" s="1"/>
      <c r="AR1936" s="1" t="s">
        <v>7979</v>
      </c>
      <c r="AS1936" s="1"/>
      <c r="AT1936" s="2">
        <v>44269.931099537</v>
      </c>
    </row>
    <row r="1937" ht="13.5" customHeight="1">
      <c r="A1937" s="1"/>
      <c r="B1937" s="1" t="s">
        <v>46</v>
      </c>
      <c r="C1937" s="1" t="s">
        <v>47</v>
      </c>
      <c r="D1937" s="1"/>
      <c r="E1937" s="1" t="s">
        <v>7980</v>
      </c>
      <c r="F1937" s="1"/>
      <c r="G1937" s="1"/>
      <c r="H1937" s="1" t="s">
        <v>93</v>
      </c>
      <c r="I1937" s="1">
        <v>500.0</v>
      </c>
      <c r="J1937" s="1"/>
      <c r="K1937" s="1"/>
      <c r="L1937" s="1"/>
      <c r="M1937" s="1" t="s">
        <v>7981</v>
      </c>
      <c r="N1937" s="1" t="s">
        <v>95</v>
      </c>
      <c r="O1937" s="1" t="s">
        <v>96</v>
      </c>
      <c r="P1937" s="2">
        <v>43756.7596296296</v>
      </c>
      <c r="Q1937" s="1" t="s">
        <v>373</v>
      </c>
      <c r="R1937" s="1"/>
      <c r="S1937" s="1"/>
      <c r="T1937" s="1">
        <v>3518800.0</v>
      </c>
      <c r="U1937" s="1" t="s">
        <v>57</v>
      </c>
      <c r="V1937" s="1" t="s">
        <v>58</v>
      </c>
      <c r="W1937" s="1" t="s">
        <v>177</v>
      </c>
      <c r="X1937" s="1"/>
      <c r="Y1937" s="1"/>
      <c r="Z1937" s="1" t="s">
        <v>98</v>
      </c>
      <c r="AA1937" s="1" t="s">
        <v>7982</v>
      </c>
      <c r="AB1937" s="1" t="str">
        <f>"***215578**"</f>
        <v>***215578**</v>
      </c>
      <c r="AC1937" s="1"/>
      <c r="AD1937" s="1" t="s">
        <v>62</v>
      </c>
      <c r="AE1937" s="1"/>
      <c r="AF1937" s="1">
        <v>-46.487499</v>
      </c>
      <c r="AG1937" s="1">
        <v>-23.425554</v>
      </c>
      <c r="AH1937" s="1" t="s">
        <v>7983</v>
      </c>
      <c r="AI1937" s="1"/>
      <c r="AJ1937" s="1" t="s">
        <v>64</v>
      </c>
      <c r="AK1937" s="1"/>
      <c r="AL1937" s="1"/>
      <c r="AM1937" s="1"/>
      <c r="AN1937" s="1"/>
      <c r="AO1937" s="1"/>
      <c r="AP1937" s="2">
        <v>43756.7868287037</v>
      </c>
      <c r="AQ1937" s="1"/>
      <c r="AR1937" s="1" t="s">
        <v>7984</v>
      </c>
      <c r="AS1937" s="1"/>
      <c r="AT1937" s="2">
        <v>44269.931099537</v>
      </c>
    </row>
    <row r="1938" ht="13.5" customHeight="1">
      <c r="A1938" s="1">
        <v>2034444.0</v>
      </c>
      <c r="B1938" s="1" t="s">
        <v>67</v>
      </c>
      <c r="C1938" s="1" t="s">
        <v>68</v>
      </c>
      <c r="D1938" s="1" t="s">
        <v>46</v>
      </c>
      <c r="E1938" s="1" t="s">
        <v>7985</v>
      </c>
      <c r="F1938" s="1"/>
      <c r="G1938" s="1" t="s">
        <v>70</v>
      </c>
      <c r="H1938" s="1" t="s">
        <v>93</v>
      </c>
      <c r="I1938" s="1">
        <v>17400.0</v>
      </c>
      <c r="J1938" s="1" t="s">
        <v>5027</v>
      </c>
      <c r="K1938" s="1"/>
      <c r="L1938" s="1" t="s">
        <v>1040</v>
      </c>
      <c r="M1938" s="1" t="s">
        <v>7986</v>
      </c>
      <c r="N1938" s="1" t="s">
        <v>142</v>
      </c>
      <c r="O1938" s="1"/>
      <c r="P1938" s="2">
        <v>43756.65625</v>
      </c>
      <c r="Q1938" s="1" t="s">
        <v>373</v>
      </c>
      <c r="R1938" s="1"/>
      <c r="S1938" s="1"/>
      <c r="T1938" s="1">
        <v>2611606.0</v>
      </c>
      <c r="U1938" s="1" t="s">
        <v>4246</v>
      </c>
      <c r="V1938" s="1" t="s">
        <v>1037</v>
      </c>
      <c r="W1938" s="1" t="s">
        <v>59</v>
      </c>
      <c r="X1938" s="1"/>
      <c r="Y1938" s="1" t="str">
        <f>"02019003339201911"</f>
        <v>02019003339201911</v>
      </c>
      <c r="Z1938" s="1" t="s">
        <v>147</v>
      </c>
      <c r="AA1938" s="1" t="s">
        <v>7987</v>
      </c>
      <c r="AB1938" s="1" t="str">
        <f>"***410694**"</f>
        <v>***410694**</v>
      </c>
      <c r="AC1938" s="1"/>
      <c r="AD1938" s="1" t="s">
        <v>116</v>
      </c>
      <c r="AE1938" s="1"/>
      <c r="AF1938" s="1">
        <v>0.0</v>
      </c>
      <c r="AG1938" s="1">
        <v>0.0</v>
      </c>
      <c r="AH1938" s="1" t="s">
        <v>7988</v>
      </c>
      <c r="AI1938" s="1"/>
      <c r="AJ1938" s="1"/>
      <c r="AK1938" s="1"/>
      <c r="AL1938" s="1" t="s">
        <v>118</v>
      </c>
      <c r="AM1938" s="1"/>
      <c r="AN1938" s="1"/>
      <c r="AO1938" s="2">
        <v>43857.5182523148</v>
      </c>
      <c r="AP1938" s="2">
        <v>43857.5184375</v>
      </c>
      <c r="AQ1938" s="1" t="s">
        <v>80</v>
      </c>
      <c r="AR1938" s="1" t="s">
        <v>7989</v>
      </c>
      <c r="AS1938" s="1"/>
      <c r="AT1938" s="2">
        <v>44269.931099537</v>
      </c>
    </row>
    <row r="1939" ht="13.5" customHeight="1">
      <c r="A1939" s="1">
        <v>2036222.0</v>
      </c>
      <c r="B1939" s="1" t="s">
        <v>67</v>
      </c>
      <c r="C1939" s="1" t="s">
        <v>68</v>
      </c>
      <c r="D1939" s="1" t="s">
        <v>46</v>
      </c>
      <c r="E1939" s="1" t="s">
        <v>7990</v>
      </c>
      <c r="F1939" s="1"/>
      <c r="G1939" s="1" t="s">
        <v>70</v>
      </c>
      <c r="H1939" s="1" t="s">
        <v>50</v>
      </c>
      <c r="I1939" s="1">
        <v>3000.0</v>
      </c>
      <c r="J1939" s="1"/>
      <c r="K1939" s="1"/>
      <c r="L1939" s="1" t="s">
        <v>64</v>
      </c>
      <c r="M1939" s="1" t="s">
        <v>7991</v>
      </c>
      <c r="N1939" s="1" t="s">
        <v>72</v>
      </c>
      <c r="O1939" s="1" t="s">
        <v>73</v>
      </c>
      <c r="P1939" s="2">
        <v>43756.625</v>
      </c>
      <c r="Q1939" s="1" t="s">
        <v>74</v>
      </c>
      <c r="R1939" s="3">
        <v>43887.0</v>
      </c>
      <c r="S1939" s="1"/>
      <c r="T1939" s="1">
        <v>3520509.0</v>
      </c>
      <c r="U1939" s="1" t="s">
        <v>7992</v>
      </c>
      <c r="V1939" s="1" t="s">
        <v>58</v>
      </c>
      <c r="W1939" s="1" t="s">
        <v>59</v>
      </c>
      <c r="X1939" s="1"/>
      <c r="Y1939" s="1" t="str">
        <f>"02027004130202009"</f>
        <v>02027004130202009</v>
      </c>
      <c r="Z1939" s="1" t="s">
        <v>76</v>
      </c>
      <c r="AA1939" s="1" t="s">
        <v>7067</v>
      </c>
      <c r="AB1939" s="1" t="str">
        <f>"56998438000670"</f>
        <v>56998438000670</v>
      </c>
      <c r="AC1939" s="1"/>
      <c r="AD1939" s="1"/>
      <c r="AE1939" s="1"/>
      <c r="AF1939" s="1">
        <v>-47.144169</v>
      </c>
      <c r="AG1939" s="1">
        <v>-23.007778</v>
      </c>
      <c r="AH1939" s="1" t="s">
        <v>7993</v>
      </c>
      <c r="AI1939" s="1"/>
      <c r="AJ1939" s="1" t="s">
        <v>64</v>
      </c>
      <c r="AK1939" s="1"/>
      <c r="AL1939" s="1" t="s">
        <v>79</v>
      </c>
      <c r="AM1939" s="1" t="s">
        <v>65</v>
      </c>
      <c r="AN1939" s="1" t="s">
        <v>102</v>
      </c>
      <c r="AO1939" s="2">
        <v>43941.0</v>
      </c>
      <c r="AP1939" s="2">
        <v>43941.4759606481</v>
      </c>
      <c r="AQ1939" s="1" t="s">
        <v>80</v>
      </c>
      <c r="AR1939" s="1" t="s">
        <v>1072</v>
      </c>
      <c r="AS1939" s="1"/>
      <c r="AT1939" s="2">
        <v>44269.931099537</v>
      </c>
    </row>
    <row r="1940" ht="13.5" customHeight="1">
      <c r="A1940" s="1">
        <v>2042684.0</v>
      </c>
      <c r="B1940" s="1" t="s">
        <v>67</v>
      </c>
      <c r="C1940" s="1" t="s">
        <v>68</v>
      </c>
      <c r="D1940" s="1" t="s">
        <v>46</v>
      </c>
      <c r="E1940" s="1" t="s">
        <v>7994</v>
      </c>
      <c r="F1940" s="1"/>
      <c r="G1940" s="1" t="s">
        <v>70</v>
      </c>
      <c r="H1940" s="1" t="s">
        <v>93</v>
      </c>
      <c r="I1940" s="1">
        <v>39000.0</v>
      </c>
      <c r="J1940" s="1"/>
      <c r="K1940" s="1"/>
      <c r="L1940" s="1" t="s">
        <v>1040</v>
      </c>
      <c r="M1940" s="1" t="s">
        <v>7995</v>
      </c>
      <c r="N1940" s="1" t="s">
        <v>142</v>
      </c>
      <c r="O1940" s="1" t="s">
        <v>143</v>
      </c>
      <c r="P1940" s="2">
        <v>43756.625</v>
      </c>
      <c r="Q1940" s="1" t="s">
        <v>373</v>
      </c>
      <c r="R1940" s="3">
        <v>43756.0</v>
      </c>
      <c r="S1940" s="1"/>
      <c r="T1940" s="1">
        <v>2603454.0</v>
      </c>
      <c r="U1940" s="1" t="s">
        <v>7996</v>
      </c>
      <c r="V1940" s="1" t="s">
        <v>1037</v>
      </c>
      <c r="W1940" s="1" t="s">
        <v>59</v>
      </c>
      <c r="X1940" s="1"/>
      <c r="Y1940" s="1" t="str">
        <f>"02019000257202040"</f>
        <v>02019000257202040</v>
      </c>
      <c r="Z1940" s="1" t="s">
        <v>147</v>
      </c>
      <c r="AA1940" s="1" t="s">
        <v>7997</v>
      </c>
      <c r="AB1940" s="1" t="str">
        <f>"***935844**"</f>
        <v>***935844**</v>
      </c>
      <c r="AC1940" s="1"/>
      <c r="AD1940" s="1"/>
      <c r="AE1940" s="1"/>
      <c r="AF1940" s="1">
        <v>-34.931114</v>
      </c>
      <c r="AG1940" s="1">
        <v>-8.038056</v>
      </c>
      <c r="AH1940" s="1" t="s">
        <v>7998</v>
      </c>
      <c r="AI1940" s="1"/>
      <c r="AJ1940" s="1" t="s">
        <v>1040</v>
      </c>
      <c r="AK1940" s="1"/>
      <c r="AL1940" s="1" t="s">
        <v>79</v>
      </c>
      <c r="AM1940" s="1" t="s">
        <v>65</v>
      </c>
      <c r="AN1940" s="1" t="s">
        <v>7999</v>
      </c>
      <c r="AO1940" s="2">
        <v>44215.0</v>
      </c>
      <c r="AP1940" s="2">
        <v>44215.7368865741</v>
      </c>
      <c r="AQ1940" s="1" t="s">
        <v>80</v>
      </c>
      <c r="AR1940" s="1" t="s">
        <v>181</v>
      </c>
      <c r="AS1940" s="1"/>
      <c r="AT1940" s="2">
        <v>44269.931099537</v>
      </c>
    </row>
    <row r="1941" ht="13.5" customHeight="1">
      <c r="A1941" s="1">
        <v>2042685.0</v>
      </c>
      <c r="B1941" s="1" t="s">
        <v>67</v>
      </c>
      <c r="C1941" s="1" t="s">
        <v>68</v>
      </c>
      <c r="D1941" s="1" t="s">
        <v>46</v>
      </c>
      <c r="E1941" s="1" t="s">
        <v>8000</v>
      </c>
      <c r="F1941" s="1"/>
      <c r="G1941" s="1" t="s">
        <v>70</v>
      </c>
      <c r="H1941" s="1" t="s">
        <v>93</v>
      </c>
      <c r="I1941" s="1">
        <v>72300.0</v>
      </c>
      <c r="J1941" s="1"/>
      <c r="K1941" s="1"/>
      <c r="L1941" s="1" t="s">
        <v>1040</v>
      </c>
      <c r="M1941" s="1" t="s">
        <v>8001</v>
      </c>
      <c r="N1941" s="1" t="s">
        <v>142</v>
      </c>
      <c r="O1941" s="1" t="s">
        <v>143</v>
      </c>
      <c r="P1941" s="2">
        <v>43756.625</v>
      </c>
      <c r="Q1941" s="1" t="s">
        <v>373</v>
      </c>
      <c r="R1941" s="3">
        <v>43756.0</v>
      </c>
      <c r="S1941" s="1"/>
      <c r="T1941" s="1">
        <v>2611606.0</v>
      </c>
      <c r="U1941" s="1" t="s">
        <v>4246</v>
      </c>
      <c r="V1941" s="1" t="s">
        <v>1037</v>
      </c>
      <c r="W1941" s="1" t="s">
        <v>59</v>
      </c>
      <c r="X1941" s="1"/>
      <c r="Y1941" s="1" t="str">
        <f>"02019003775201981"</f>
        <v>02019003775201981</v>
      </c>
      <c r="Z1941" s="1" t="s">
        <v>147</v>
      </c>
      <c r="AA1941" s="1" t="s">
        <v>8002</v>
      </c>
      <c r="AB1941" s="1" t="str">
        <f>"***335594**"</f>
        <v>***335594**</v>
      </c>
      <c r="AC1941" s="1"/>
      <c r="AD1941" s="1"/>
      <c r="AE1941" s="1"/>
      <c r="AF1941" s="1">
        <v>-34.930836</v>
      </c>
      <c r="AG1941" s="1">
        <v>-8.183612</v>
      </c>
      <c r="AH1941" s="1" t="s">
        <v>8003</v>
      </c>
      <c r="AI1941" s="1"/>
      <c r="AJ1941" s="1" t="s">
        <v>1040</v>
      </c>
      <c r="AK1941" s="1"/>
      <c r="AL1941" s="1" t="s">
        <v>79</v>
      </c>
      <c r="AM1941" s="1" t="s">
        <v>65</v>
      </c>
      <c r="AN1941" s="1" t="s">
        <v>7999</v>
      </c>
      <c r="AO1941" s="2">
        <v>44215.0</v>
      </c>
      <c r="AP1941" s="2">
        <v>44215.737025463</v>
      </c>
      <c r="AQ1941" s="1" t="s">
        <v>80</v>
      </c>
      <c r="AR1941" s="1" t="s">
        <v>181</v>
      </c>
      <c r="AS1941" s="1"/>
      <c r="AT1941" s="2">
        <v>44269.931099537</v>
      </c>
    </row>
    <row r="1942" ht="13.5" customHeight="1">
      <c r="A1942" s="1">
        <v>2043832.0</v>
      </c>
      <c r="B1942" s="1" t="s">
        <v>67</v>
      </c>
      <c r="C1942" s="1" t="s">
        <v>68</v>
      </c>
      <c r="D1942" s="1" t="s">
        <v>46</v>
      </c>
      <c r="E1942" s="1" t="s">
        <v>8004</v>
      </c>
      <c r="F1942" s="1"/>
      <c r="G1942" s="1" t="s">
        <v>70</v>
      </c>
      <c r="H1942" s="1" t="s">
        <v>93</v>
      </c>
      <c r="I1942" s="1">
        <v>830000.0</v>
      </c>
      <c r="J1942" s="1"/>
      <c r="K1942" s="1"/>
      <c r="L1942" s="1" t="s">
        <v>65</v>
      </c>
      <c r="M1942" s="1" t="s">
        <v>8005</v>
      </c>
      <c r="N1942" s="1" t="s">
        <v>142</v>
      </c>
      <c r="O1942" s="1" t="s">
        <v>143</v>
      </c>
      <c r="P1942" s="2">
        <v>43756.625</v>
      </c>
      <c r="Q1942" s="1" t="s">
        <v>74</v>
      </c>
      <c r="R1942" s="1"/>
      <c r="S1942" s="1"/>
      <c r="T1942" s="1">
        <v>1500602.0</v>
      </c>
      <c r="U1942" s="1" t="s">
        <v>5135</v>
      </c>
      <c r="V1942" s="1" t="s">
        <v>193</v>
      </c>
      <c r="W1942" s="1" t="s">
        <v>177</v>
      </c>
      <c r="X1942" s="1"/>
      <c r="Y1942" s="1" t="str">
        <f>"02027018857201921"</f>
        <v>02027018857201921</v>
      </c>
      <c r="Z1942" s="1" t="s">
        <v>147</v>
      </c>
      <c r="AA1942" s="1" t="s">
        <v>8006</v>
      </c>
      <c r="AB1942" s="1" t="str">
        <f>"***770482**"</f>
        <v>***770482**</v>
      </c>
      <c r="AC1942" s="1">
        <v>165.1</v>
      </c>
      <c r="AD1942" s="1" t="s">
        <v>116</v>
      </c>
      <c r="AE1942" s="1"/>
      <c r="AF1942" s="1">
        <v>-55.088333</v>
      </c>
      <c r="AG1942" s="1">
        <v>-6.435278</v>
      </c>
      <c r="AH1942" s="1" t="s">
        <v>8007</v>
      </c>
      <c r="AI1942" s="1"/>
      <c r="AJ1942" s="1" t="s">
        <v>172</v>
      </c>
      <c r="AK1942" s="1" t="s">
        <v>6258</v>
      </c>
      <c r="AL1942" s="1" t="s">
        <v>79</v>
      </c>
      <c r="AM1942" s="1" t="s">
        <v>65</v>
      </c>
      <c r="AN1942" s="1" t="s">
        <v>6258</v>
      </c>
      <c r="AO1942" s="2">
        <v>44253.0</v>
      </c>
      <c r="AP1942" s="2">
        <v>44253.7681944445</v>
      </c>
      <c r="AQ1942" s="1" t="s">
        <v>80</v>
      </c>
      <c r="AR1942" s="1" t="s">
        <v>4310</v>
      </c>
      <c r="AS1942" s="1"/>
      <c r="AT1942" s="2">
        <v>44269.931099537</v>
      </c>
    </row>
    <row r="1943" ht="13.5" customHeight="1">
      <c r="A1943" s="1">
        <v>2038846.0</v>
      </c>
      <c r="B1943" s="1" t="s">
        <v>67</v>
      </c>
      <c r="C1943" s="1" t="s">
        <v>68</v>
      </c>
      <c r="D1943" s="1" t="s">
        <v>46</v>
      </c>
      <c r="E1943" s="1" t="s">
        <v>8008</v>
      </c>
      <c r="F1943" s="1"/>
      <c r="G1943" s="1" t="s">
        <v>70</v>
      </c>
      <c r="H1943" s="1" t="s">
        <v>93</v>
      </c>
      <c r="I1943" s="1">
        <v>1200.0</v>
      </c>
      <c r="J1943" s="1"/>
      <c r="K1943" s="1"/>
      <c r="L1943" s="1" t="s">
        <v>172</v>
      </c>
      <c r="M1943" s="1" t="s">
        <v>8009</v>
      </c>
      <c r="N1943" s="1" t="s">
        <v>142</v>
      </c>
      <c r="O1943" s="1" t="s">
        <v>143</v>
      </c>
      <c r="P1943" s="2">
        <v>43756.5833333333</v>
      </c>
      <c r="Q1943" s="1" t="s">
        <v>373</v>
      </c>
      <c r="R1943" s="3">
        <v>43756.0</v>
      </c>
      <c r="S1943" s="1"/>
      <c r="T1943" s="1">
        <v>1503606.0</v>
      </c>
      <c r="U1943" s="1" t="s">
        <v>5687</v>
      </c>
      <c r="V1943" s="1" t="s">
        <v>193</v>
      </c>
      <c r="W1943" s="1" t="s">
        <v>177</v>
      </c>
      <c r="X1943" s="1"/>
      <c r="Y1943" s="1" t="str">
        <f>"02001017763202067"</f>
        <v>02001017763202067</v>
      </c>
      <c r="Z1943" s="1" t="s">
        <v>147</v>
      </c>
      <c r="AA1943" s="1" t="s">
        <v>8010</v>
      </c>
      <c r="AB1943" s="1" t="str">
        <f>"***072901**"</f>
        <v>***072901**</v>
      </c>
      <c r="AC1943" s="1"/>
      <c r="AD1943" s="1"/>
      <c r="AE1943" s="1"/>
      <c r="AF1943" s="1">
        <v>-56.070831</v>
      </c>
      <c r="AG1943" s="1">
        <v>-6.435278</v>
      </c>
      <c r="AH1943" s="1" t="s">
        <v>8011</v>
      </c>
      <c r="AI1943" s="1"/>
      <c r="AJ1943" s="1" t="s">
        <v>172</v>
      </c>
      <c r="AK1943" s="1"/>
      <c r="AL1943" s="1" t="s">
        <v>79</v>
      </c>
      <c r="AM1943" s="1" t="s">
        <v>65</v>
      </c>
      <c r="AN1943" s="1" t="s">
        <v>6258</v>
      </c>
      <c r="AO1943" s="2">
        <v>44047.0</v>
      </c>
      <c r="AP1943" s="2">
        <v>44047.3534722222</v>
      </c>
      <c r="AQ1943" s="1" t="s">
        <v>80</v>
      </c>
      <c r="AR1943" s="1" t="s">
        <v>650</v>
      </c>
      <c r="AS1943" s="1"/>
      <c r="AT1943" s="2">
        <v>44269.931099537</v>
      </c>
    </row>
    <row r="1944" ht="13.5" customHeight="1">
      <c r="A1944" s="1">
        <v>2038847.0</v>
      </c>
      <c r="B1944" s="1" t="s">
        <v>67</v>
      </c>
      <c r="C1944" s="1" t="s">
        <v>68</v>
      </c>
      <c r="D1944" s="1" t="s">
        <v>46</v>
      </c>
      <c r="E1944" s="1" t="s">
        <v>8012</v>
      </c>
      <c r="F1944" s="1"/>
      <c r="G1944" s="1" t="s">
        <v>70</v>
      </c>
      <c r="H1944" s="1" t="s">
        <v>93</v>
      </c>
      <c r="I1944" s="1">
        <v>36000.0</v>
      </c>
      <c r="J1944" s="1"/>
      <c r="K1944" s="1"/>
      <c r="L1944" s="1" t="s">
        <v>172</v>
      </c>
      <c r="M1944" s="1" t="s">
        <v>8013</v>
      </c>
      <c r="N1944" s="1" t="s">
        <v>142</v>
      </c>
      <c r="O1944" s="1" t="s">
        <v>143</v>
      </c>
      <c r="P1944" s="2">
        <v>43756.5833333333</v>
      </c>
      <c r="Q1944" s="1" t="s">
        <v>373</v>
      </c>
      <c r="R1944" s="3">
        <v>43756.0</v>
      </c>
      <c r="S1944" s="1"/>
      <c r="T1944" s="1">
        <v>1507300.0</v>
      </c>
      <c r="U1944" s="1" t="s">
        <v>3161</v>
      </c>
      <c r="V1944" s="1" t="s">
        <v>193</v>
      </c>
      <c r="W1944" s="1" t="s">
        <v>177</v>
      </c>
      <c r="X1944" s="1"/>
      <c r="Y1944" s="1" t="str">
        <f>"02001017764202010"</f>
        <v>02001017764202010</v>
      </c>
      <c r="Z1944" s="1" t="s">
        <v>147</v>
      </c>
      <c r="AA1944" s="1" t="s">
        <v>8014</v>
      </c>
      <c r="AB1944" s="1" t="str">
        <f>"16659907000105"</f>
        <v>16659907000105</v>
      </c>
      <c r="AC1944" s="1"/>
      <c r="AD1944" s="1"/>
      <c r="AE1944" s="1"/>
      <c r="AF1944" s="1">
        <v>-51.991943</v>
      </c>
      <c r="AG1944" s="1">
        <v>-6.645</v>
      </c>
      <c r="AH1944" s="1" t="s">
        <v>8015</v>
      </c>
      <c r="AI1944" s="1"/>
      <c r="AJ1944" s="1" t="s">
        <v>172</v>
      </c>
      <c r="AK1944" s="1"/>
      <c r="AL1944" s="1" t="s">
        <v>79</v>
      </c>
      <c r="AM1944" s="1" t="s">
        <v>65</v>
      </c>
      <c r="AN1944" s="1" t="s">
        <v>6258</v>
      </c>
      <c r="AO1944" s="2">
        <v>44047.0</v>
      </c>
      <c r="AP1944" s="2">
        <v>44047.3537615741</v>
      </c>
      <c r="AQ1944" s="1" t="s">
        <v>80</v>
      </c>
      <c r="AR1944" s="1" t="s">
        <v>6654</v>
      </c>
      <c r="AS1944" s="1"/>
      <c r="AT1944" s="2">
        <v>44269.931099537</v>
      </c>
    </row>
    <row r="1945" ht="13.5" customHeight="1">
      <c r="A1945" s="1">
        <v>2038921.0</v>
      </c>
      <c r="B1945" s="1" t="s">
        <v>67</v>
      </c>
      <c r="C1945" s="1" t="s">
        <v>68</v>
      </c>
      <c r="D1945" s="1" t="s">
        <v>46</v>
      </c>
      <c r="E1945" s="1" t="s">
        <v>8016</v>
      </c>
      <c r="F1945" s="1"/>
      <c r="G1945" s="1" t="s">
        <v>70</v>
      </c>
      <c r="H1945" s="1" t="s">
        <v>93</v>
      </c>
      <c r="I1945" s="1">
        <v>930000.0</v>
      </c>
      <c r="J1945" s="1"/>
      <c r="K1945" s="1"/>
      <c r="L1945" s="1" t="s">
        <v>172</v>
      </c>
      <c r="M1945" s="1" t="s">
        <v>8017</v>
      </c>
      <c r="N1945" s="1" t="s">
        <v>142</v>
      </c>
      <c r="O1945" s="1" t="s">
        <v>143</v>
      </c>
      <c r="P1945" s="2">
        <v>43756.5833333333</v>
      </c>
      <c r="Q1945" s="1" t="s">
        <v>373</v>
      </c>
      <c r="R1945" s="3">
        <v>43756.0</v>
      </c>
      <c r="S1945" s="1"/>
      <c r="T1945" s="1">
        <v>1503606.0</v>
      </c>
      <c r="U1945" s="1" t="s">
        <v>5687</v>
      </c>
      <c r="V1945" s="1" t="s">
        <v>193</v>
      </c>
      <c r="W1945" s="1" t="s">
        <v>177</v>
      </c>
      <c r="X1945" s="1"/>
      <c r="Y1945" s="1" t="str">
        <f>"02001018060202056"</f>
        <v>02001018060202056</v>
      </c>
      <c r="Z1945" s="1" t="s">
        <v>147</v>
      </c>
      <c r="AA1945" s="1" t="s">
        <v>8018</v>
      </c>
      <c r="AB1945" s="1" t="str">
        <f>"***692299**"</f>
        <v>***692299**</v>
      </c>
      <c r="AC1945" s="1"/>
      <c r="AD1945" s="1"/>
      <c r="AE1945" s="1"/>
      <c r="AF1945" s="1">
        <v>-55.280029</v>
      </c>
      <c r="AG1945" s="1">
        <v>-6.536917</v>
      </c>
      <c r="AH1945" s="1" t="s">
        <v>8019</v>
      </c>
      <c r="AI1945" s="1"/>
      <c r="AJ1945" s="1" t="s">
        <v>172</v>
      </c>
      <c r="AK1945" s="1"/>
      <c r="AL1945" s="1" t="s">
        <v>79</v>
      </c>
      <c r="AM1945" s="1" t="s">
        <v>65</v>
      </c>
      <c r="AN1945" s="1" t="s">
        <v>6258</v>
      </c>
      <c r="AO1945" s="2">
        <v>44049.0</v>
      </c>
      <c r="AP1945" s="2">
        <v>44049.609375</v>
      </c>
      <c r="AQ1945" s="1" t="s">
        <v>80</v>
      </c>
      <c r="AR1945" s="1" t="s">
        <v>650</v>
      </c>
      <c r="AS1945" s="1"/>
      <c r="AT1945" s="2">
        <v>44269.931099537</v>
      </c>
    </row>
    <row r="1946" ht="13.5" customHeight="1">
      <c r="A1946" s="1">
        <v>2034909.0</v>
      </c>
      <c r="B1946" s="1" t="s">
        <v>67</v>
      </c>
      <c r="C1946" s="1" t="s">
        <v>68</v>
      </c>
      <c r="D1946" s="1" t="s">
        <v>46</v>
      </c>
      <c r="E1946" s="1" t="s">
        <v>8020</v>
      </c>
      <c r="F1946" s="1"/>
      <c r="G1946" s="1" t="s">
        <v>70</v>
      </c>
      <c r="H1946" s="1" t="s">
        <v>93</v>
      </c>
      <c r="I1946" s="1">
        <v>295000.0</v>
      </c>
      <c r="J1946" s="1"/>
      <c r="K1946" s="1"/>
      <c r="L1946" s="1" t="s">
        <v>172</v>
      </c>
      <c r="M1946" s="1" t="s">
        <v>8021</v>
      </c>
      <c r="N1946" s="1" t="s">
        <v>142</v>
      </c>
      <c r="O1946" s="1" t="s">
        <v>143</v>
      </c>
      <c r="P1946" s="2">
        <v>43756.5416666667</v>
      </c>
      <c r="Q1946" s="1" t="s">
        <v>373</v>
      </c>
      <c r="R1946" s="3">
        <v>43756.0</v>
      </c>
      <c r="S1946" s="1"/>
      <c r="T1946" s="1">
        <v>1300144.0</v>
      </c>
      <c r="U1946" s="1" t="s">
        <v>7328</v>
      </c>
      <c r="V1946" s="1" t="s">
        <v>486</v>
      </c>
      <c r="W1946" s="1" t="s">
        <v>177</v>
      </c>
      <c r="X1946" s="1"/>
      <c r="Y1946" s="1" t="str">
        <f>"02001034385201942"</f>
        <v>02001034385201942</v>
      </c>
      <c r="Z1946" s="1" t="s">
        <v>147</v>
      </c>
      <c r="AA1946" s="1" t="s">
        <v>8022</v>
      </c>
      <c r="AB1946" s="1" t="str">
        <f>"***978001**"</f>
        <v>***978001**</v>
      </c>
      <c r="AC1946" s="1"/>
      <c r="AD1946" s="1"/>
      <c r="AE1946" s="1"/>
      <c r="AF1946" s="1">
        <v>-59.06889</v>
      </c>
      <c r="AG1946" s="1">
        <v>-6.799167</v>
      </c>
      <c r="AH1946" s="1" t="s">
        <v>8023</v>
      </c>
      <c r="AI1946" s="1"/>
      <c r="AJ1946" s="1" t="s">
        <v>172</v>
      </c>
      <c r="AK1946" s="1"/>
      <c r="AL1946" s="1" t="s">
        <v>79</v>
      </c>
      <c r="AM1946" s="1" t="s">
        <v>65</v>
      </c>
      <c r="AN1946" s="1" t="s">
        <v>7331</v>
      </c>
      <c r="AO1946" s="2">
        <v>43892.0</v>
      </c>
      <c r="AP1946" s="2">
        <v>43892.7028125</v>
      </c>
      <c r="AQ1946" s="1" t="s">
        <v>80</v>
      </c>
      <c r="AR1946" s="1" t="s">
        <v>451</v>
      </c>
      <c r="AS1946" s="1"/>
      <c r="AT1946" s="2">
        <v>44269.931099537</v>
      </c>
    </row>
    <row r="1947" ht="13.5" customHeight="1">
      <c r="A1947" s="1">
        <v>2039333.0</v>
      </c>
      <c r="B1947" s="1" t="s">
        <v>67</v>
      </c>
      <c r="C1947" s="1" t="s">
        <v>68</v>
      </c>
      <c r="D1947" s="1" t="s">
        <v>46</v>
      </c>
      <c r="E1947" s="1" t="s">
        <v>8024</v>
      </c>
      <c r="F1947" s="1"/>
      <c r="G1947" s="1" t="s">
        <v>70</v>
      </c>
      <c r="H1947" s="1" t="s">
        <v>50</v>
      </c>
      <c r="I1947" s="1">
        <v>1500.0</v>
      </c>
      <c r="J1947" s="1"/>
      <c r="K1947" s="1"/>
      <c r="L1947" s="1" t="s">
        <v>167</v>
      </c>
      <c r="M1947" s="1" t="s">
        <v>8025</v>
      </c>
      <c r="N1947" s="1" t="s">
        <v>283</v>
      </c>
      <c r="O1947" s="1" t="s">
        <v>978</v>
      </c>
      <c r="P1947" s="2">
        <v>43756.5416666667</v>
      </c>
      <c r="Q1947" s="1" t="s">
        <v>373</v>
      </c>
      <c r="R1947" s="3">
        <v>43756.0</v>
      </c>
      <c r="S1947" s="1"/>
      <c r="T1947" s="1">
        <v>5100409.0</v>
      </c>
      <c r="U1947" s="1" t="s">
        <v>6982</v>
      </c>
      <c r="V1947" s="1" t="s">
        <v>164</v>
      </c>
      <c r="W1947" s="1" t="s">
        <v>177</v>
      </c>
      <c r="X1947" s="1"/>
      <c r="Y1947" s="1" t="str">
        <f>"02013002182202091"</f>
        <v>02013002182202091</v>
      </c>
      <c r="Z1947" s="1" t="s">
        <v>980</v>
      </c>
      <c r="AA1947" s="1" t="s">
        <v>8026</v>
      </c>
      <c r="AB1947" s="1" t="str">
        <f>"21273625000105"</f>
        <v>21273625000105</v>
      </c>
      <c r="AC1947" s="1"/>
      <c r="AD1947" s="1"/>
      <c r="AE1947" s="1"/>
      <c r="AF1947" s="1">
        <v>-53.488888</v>
      </c>
      <c r="AG1947" s="1">
        <v>-17.025555</v>
      </c>
      <c r="AH1947" s="1" t="s">
        <v>8027</v>
      </c>
      <c r="AI1947" s="1"/>
      <c r="AJ1947" s="1" t="s">
        <v>167</v>
      </c>
      <c r="AK1947" s="1"/>
      <c r="AL1947" s="1" t="s">
        <v>79</v>
      </c>
      <c r="AM1947" s="1" t="s">
        <v>65</v>
      </c>
      <c r="AN1947" s="1" t="s">
        <v>6985</v>
      </c>
      <c r="AO1947" s="2">
        <v>44061.0</v>
      </c>
      <c r="AP1947" s="2">
        <v>44061.3715277778</v>
      </c>
      <c r="AQ1947" s="1" t="s">
        <v>80</v>
      </c>
      <c r="AR1947" s="1" t="s">
        <v>909</v>
      </c>
      <c r="AS1947" s="1"/>
      <c r="AT1947" s="2">
        <v>44269.931099537</v>
      </c>
    </row>
    <row r="1948" ht="13.5" customHeight="1">
      <c r="A1948" s="1">
        <v>2039335.0</v>
      </c>
      <c r="B1948" s="1" t="s">
        <v>67</v>
      </c>
      <c r="C1948" s="1" t="s">
        <v>68</v>
      </c>
      <c r="D1948" s="1" t="s">
        <v>46</v>
      </c>
      <c r="E1948" s="1" t="s">
        <v>8028</v>
      </c>
      <c r="F1948" s="1"/>
      <c r="G1948" s="1" t="s">
        <v>70</v>
      </c>
      <c r="H1948" s="1" t="s">
        <v>50</v>
      </c>
      <c r="I1948" s="1">
        <v>10500.0</v>
      </c>
      <c r="J1948" s="1"/>
      <c r="K1948" s="1"/>
      <c r="L1948" s="1" t="s">
        <v>167</v>
      </c>
      <c r="M1948" s="1" t="s">
        <v>8029</v>
      </c>
      <c r="N1948" s="1" t="s">
        <v>283</v>
      </c>
      <c r="O1948" s="1" t="s">
        <v>978</v>
      </c>
      <c r="P1948" s="2">
        <v>43756.5416666667</v>
      </c>
      <c r="Q1948" s="1" t="s">
        <v>373</v>
      </c>
      <c r="R1948" s="3">
        <v>43756.0</v>
      </c>
      <c r="S1948" s="1"/>
      <c r="T1948" s="1">
        <v>5100409.0</v>
      </c>
      <c r="U1948" s="1" t="s">
        <v>6982</v>
      </c>
      <c r="V1948" s="1" t="s">
        <v>164</v>
      </c>
      <c r="W1948" s="1" t="s">
        <v>177</v>
      </c>
      <c r="X1948" s="1"/>
      <c r="Y1948" s="1" t="str">
        <f>"02013002183202036"</f>
        <v>02013002183202036</v>
      </c>
      <c r="Z1948" s="1" t="s">
        <v>980</v>
      </c>
      <c r="AA1948" s="1" t="s">
        <v>8030</v>
      </c>
      <c r="AB1948" s="1" t="str">
        <f>"21849120001533"</f>
        <v>21849120001533</v>
      </c>
      <c r="AC1948" s="1"/>
      <c r="AD1948" s="1"/>
      <c r="AE1948" s="1"/>
      <c r="AF1948" s="1">
        <v>-53.488888</v>
      </c>
      <c r="AG1948" s="1">
        <v>-17.025555</v>
      </c>
      <c r="AH1948" s="1" t="s">
        <v>8031</v>
      </c>
      <c r="AI1948" s="1"/>
      <c r="AJ1948" s="1" t="s">
        <v>167</v>
      </c>
      <c r="AK1948" s="1"/>
      <c r="AL1948" s="1" t="s">
        <v>79</v>
      </c>
      <c r="AM1948" s="1" t="s">
        <v>65</v>
      </c>
      <c r="AN1948" s="1" t="s">
        <v>6985</v>
      </c>
      <c r="AO1948" s="2">
        <v>44061.0</v>
      </c>
      <c r="AP1948" s="2">
        <v>44061.3743287037</v>
      </c>
      <c r="AQ1948" s="1" t="s">
        <v>80</v>
      </c>
      <c r="AR1948" s="1" t="s">
        <v>909</v>
      </c>
      <c r="AS1948" s="1"/>
      <c r="AT1948" s="2">
        <v>44269.931099537</v>
      </c>
    </row>
    <row r="1949" ht="13.5" customHeight="1">
      <c r="A1949" s="1">
        <v>2041571.0</v>
      </c>
      <c r="B1949" s="1" t="s">
        <v>67</v>
      </c>
      <c r="C1949" s="1" t="s">
        <v>68</v>
      </c>
      <c r="D1949" s="1" t="s">
        <v>46</v>
      </c>
      <c r="E1949" s="1" t="s">
        <v>8032</v>
      </c>
      <c r="F1949" s="1"/>
      <c r="G1949" s="1" t="s">
        <v>70</v>
      </c>
      <c r="H1949" s="1" t="s">
        <v>93</v>
      </c>
      <c r="I1949" s="1">
        <v>3500.0</v>
      </c>
      <c r="J1949" s="1"/>
      <c r="K1949" s="1"/>
      <c r="L1949" s="1" t="s">
        <v>537</v>
      </c>
      <c r="M1949" s="1" t="s">
        <v>8033</v>
      </c>
      <c r="N1949" s="1" t="s">
        <v>95</v>
      </c>
      <c r="O1949" s="1" t="s">
        <v>96</v>
      </c>
      <c r="P1949" s="2">
        <v>43756.5416666667</v>
      </c>
      <c r="Q1949" s="1" t="s">
        <v>74</v>
      </c>
      <c r="R1949" s="3">
        <v>43772.0</v>
      </c>
      <c r="S1949" s="1"/>
      <c r="T1949" s="1">
        <v>2105302.0</v>
      </c>
      <c r="U1949" s="1" t="s">
        <v>539</v>
      </c>
      <c r="V1949" s="1" t="s">
        <v>540</v>
      </c>
      <c r="W1949" s="1" t="s">
        <v>177</v>
      </c>
      <c r="X1949" s="1"/>
      <c r="Y1949" s="1"/>
      <c r="Z1949" s="1" t="s">
        <v>98</v>
      </c>
      <c r="AA1949" s="1" t="s">
        <v>8034</v>
      </c>
      <c r="AB1949" s="1" t="str">
        <f>"***612718**"</f>
        <v>***612718**</v>
      </c>
      <c r="AC1949" s="1"/>
      <c r="AD1949" s="1"/>
      <c r="AE1949" s="1"/>
      <c r="AF1949" s="1">
        <v>-47.464169</v>
      </c>
      <c r="AG1949" s="1">
        <v>-5.529444</v>
      </c>
      <c r="AH1949" s="1" t="s">
        <v>8035</v>
      </c>
      <c r="AI1949" s="1"/>
      <c r="AJ1949" s="1" t="s">
        <v>537</v>
      </c>
      <c r="AK1949" s="1"/>
      <c r="AL1949" s="1" t="s">
        <v>79</v>
      </c>
      <c r="AM1949" s="1" t="s">
        <v>65</v>
      </c>
      <c r="AN1949" s="1" t="s">
        <v>4203</v>
      </c>
      <c r="AO1949" s="2">
        <v>44168.0</v>
      </c>
      <c r="AP1949" s="2">
        <v>44168.4622916667</v>
      </c>
      <c r="AQ1949" s="1" t="s">
        <v>80</v>
      </c>
      <c r="AR1949" s="1" t="s">
        <v>1258</v>
      </c>
      <c r="AS1949" s="1"/>
      <c r="AT1949" s="2">
        <v>44269.931099537</v>
      </c>
    </row>
    <row r="1950" ht="13.5" customHeight="1">
      <c r="A1950" s="1">
        <v>2037762.0</v>
      </c>
      <c r="B1950" s="1" t="s">
        <v>67</v>
      </c>
      <c r="C1950" s="1" t="s">
        <v>68</v>
      </c>
      <c r="D1950" s="1" t="s">
        <v>46</v>
      </c>
      <c r="E1950" s="1" t="s">
        <v>8036</v>
      </c>
      <c r="F1950" s="1"/>
      <c r="G1950" s="1" t="s">
        <v>70</v>
      </c>
      <c r="H1950" s="1" t="s">
        <v>50</v>
      </c>
      <c r="I1950" s="1">
        <v>30000.0</v>
      </c>
      <c r="J1950" s="1"/>
      <c r="K1950" s="1"/>
      <c r="L1950" s="1" t="s">
        <v>172</v>
      </c>
      <c r="M1950" s="1" t="s">
        <v>8037</v>
      </c>
      <c r="N1950" s="1" t="s">
        <v>72</v>
      </c>
      <c r="O1950" s="1" t="s">
        <v>213</v>
      </c>
      <c r="P1950" s="2">
        <v>43756.5</v>
      </c>
      <c r="Q1950" s="1" t="s">
        <v>74</v>
      </c>
      <c r="R1950" s="3">
        <v>43776.0</v>
      </c>
      <c r="S1950" s="1"/>
      <c r="T1950" s="1">
        <v>3304557.0</v>
      </c>
      <c r="U1950" s="1" t="s">
        <v>286</v>
      </c>
      <c r="V1950" s="1" t="s">
        <v>287</v>
      </c>
      <c r="W1950" s="1" t="s">
        <v>288</v>
      </c>
      <c r="X1950" s="1"/>
      <c r="Y1950" s="1"/>
      <c r="Z1950" s="1" t="s">
        <v>215</v>
      </c>
      <c r="AA1950" s="1" t="s">
        <v>8038</v>
      </c>
      <c r="AB1950" s="1" t="str">
        <f>"02873528000109"</f>
        <v>02873528000109</v>
      </c>
      <c r="AC1950" s="1"/>
      <c r="AD1950" s="1"/>
      <c r="AE1950" s="1"/>
      <c r="AF1950" s="1">
        <v>-39.995556</v>
      </c>
      <c r="AG1950" s="1">
        <v>-21.492777</v>
      </c>
      <c r="AH1950" s="1" t="s">
        <v>2855</v>
      </c>
      <c r="AI1950" s="1"/>
      <c r="AJ1950" s="1" t="s">
        <v>172</v>
      </c>
      <c r="AK1950" s="1"/>
      <c r="AL1950" s="1" t="s">
        <v>79</v>
      </c>
      <c r="AM1950" s="1" t="s">
        <v>65</v>
      </c>
      <c r="AN1950" s="1" t="s">
        <v>5373</v>
      </c>
      <c r="AO1950" s="2">
        <v>44008.0</v>
      </c>
      <c r="AP1950" s="2">
        <v>44008.5911458333</v>
      </c>
      <c r="AQ1950" s="1" t="s">
        <v>80</v>
      </c>
      <c r="AR1950" s="1" t="s">
        <v>462</v>
      </c>
      <c r="AS1950" s="1"/>
      <c r="AT1950" s="2">
        <v>44269.931099537</v>
      </c>
    </row>
    <row r="1951" ht="13.5" customHeight="1">
      <c r="A1951" s="1">
        <v>2038845.0</v>
      </c>
      <c r="B1951" s="1" t="s">
        <v>67</v>
      </c>
      <c r="C1951" s="1" t="s">
        <v>68</v>
      </c>
      <c r="D1951" s="1" t="s">
        <v>46</v>
      </c>
      <c r="E1951" s="1" t="s">
        <v>8039</v>
      </c>
      <c r="F1951" s="1"/>
      <c r="G1951" s="1" t="s">
        <v>70</v>
      </c>
      <c r="H1951" s="1" t="s">
        <v>93</v>
      </c>
      <c r="I1951" s="1">
        <v>9500.0</v>
      </c>
      <c r="J1951" s="1"/>
      <c r="K1951" s="1"/>
      <c r="L1951" s="1" t="s">
        <v>172</v>
      </c>
      <c r="M1951" s="1" t="s">
        <v>8040</v>
      </c>
      <c r="N1951" s="1" t="s">
        <v>142</v>
      </c>
      <c r="O1951" s="1" t="s">
        <v>143</v>
      </c>
      <c r="P1951" s="2">
        <v>43756.4166666667</v>
      </c>
      <c r="Q1951" s="1" t="s">
        <v>373</v>
      </c>
      <c r="R1951" s="3">
        <v>43756.0</v>
      </c>
      <c r="S1951" s="1"/>
      <c r="T1951" s="1">
        <v>1507300.0</v>
      </c>
      <c r="U1951" s="1" t="s">
        <v>3161</v>
      </c>
      <c r="V1951" s="1" t="s">
        <v>193</v>
      </c>
      <c r="W1951" s="1" t="s">
        <v>177</v>
      </c>
      <c r="X1951" s="1"/>
      <c r="Y1951" s="1" t="str">
        <f>"02001017762202012"</f>
        <v>02001017762202012</v>
      </c>
      <c r="Z1951" s="1" t="s">
        <v>147</v>
      </c>
      <c r="AA1951" s="1" t="s">
        <v>8041</v>
      </c>
      <c r="AB1951" s="1" t="str">
        <f>"68067446001572"</f>
        <v>68067446001572</v>
      </c>
      <c r="AC1951" s="1"/>
      <c r="AD1951" s="1"/>
      <c r="AE1951" s="1"/>
      <c r="AF1951" s="1">
        <v>-51.984722</v>
      </c>
      <c r="AG1951" s="1">
        <v>-6.64</v>
      </c>
      <c r="AH1951" s="1" t="s">
        <v>8042</v>
      </c>
      <c r="AI1951" s="1"/>
      <c r="AJ1951" s="1" t="s">
        <v>172</v>
      </c>
      <c r="AK1951" s="1"/>
      <c r="AL1951" s="1" t="s">
        <v>79</v>
      </c>
      <c r="AM1951" s="1" t="s">
        <v>65</v>
      </c>
      <c r="AN1951" s="1" t="s">
        <v>6258</v>
      </c>
      <c r="AO1951" s="2">
        <v>44047.0</v>
      </c>
      <c r="AP1951" s="2">
        <v>44047.3530787037</v>
      </c>
      <c r="AQ1951" s="1" t="s">
        <v>80</v>
      </c>
      <c r="AR1951" s="1" t="s">
        <v>6654</v>
      </c>
      <c r="AS1951" s="1"/>
      <c r="AT1951" s="2">
        <v>44269.931099537</v>
      </c>
    </row>
    <row r="1952" ht="13.5" customHeight="1">
      <c r="A1952" s="1"/>
      <c r="B1952" s="1" t="s">
        <v>46</v>
      </c>
      <c r="C1952" s="1" t="s">
        <v>47</v>
      </c>
      <c r="D1952" s="1"/>
      <c r="E1952" s="1" t="s">
        <v>8043</v>
      </c>
      <c r="F1952" s="1"/>
      <c r="G1952" s="1" t="s">
        <v>49</v>
      </c>
      <c r="H1952" s="1" t="s">
        <v>50</v>
      </c>
      <c r="I1952" s="1">
        <v>100000.0</v>
      </c>
      <c r="J1952" s="1"/>
      <c r="K1952" s="1" t="s">
        <v>140</v>
      </c>
      <c r="L1952" s="1"/>
      <c r="M1952" s="1" t="s">
        <v>8044</v>
      </c>
      <c r="N1952" s="1" t="s">
        <v>212</v>
      </c>
      <c r="O1952" s="1" t="s">
        <v>213</v>
      </c>
      <c r="P1952" s="2">
        <v>43756.3485300926</v>
      </c>
      <c r="Q1952" s="1" t="s">
        <v>74</v>
      </c>
      <c r="R1952" s="1"/>
      <c r="S1952" s="1"/>
      <c r="T1952" s="1">
        <v>3304557.0</v>
      </c>
      <c r="U1952" s="1" t="s">
        <v>286</v>
      </c>
      <c r="V1952" s="1" t="s">
        <v>287</v>
      </c>
      <c r="W1952" s="1" t="s">
        <v>288</v>
      </c>
      <c r="X1952" s="1"/>
      <c r="Y1952" s="1"/>
      <c r="Z1952" s="1" t="s">
        <v>215</v>
      </c>
      <c r="AA1952" s="1" t="s">
        <v>289</v>
      </c>
      <c r="AB1952" s="1" t="str">
        <f>"33000167000101"</f>
        <v>33000167000101</v>
      </c>
      <c r="AC1952" s="1"/>
      <c r="AD1952" s="1" t="s">
        <v>62</v>
      </c>
      <c r="AE1952" s="1"/>
      <c r="AF1952" s="1"/>
      <c r="AG1952" s="1">
        <v>-22.924999</v>
      </c>
      <c r="AH1952" s="1" t="s">
        <v>1382</v>
      </c>
      <c r="AI1952" s="1"/>
      <c r="AJ1952" s="1" t="s">
        <v>172</v>
      </c>
      <c r="AK1952" s="1"/>
      <c r="AL1952" s="1"/>
      <c r="AM1952" s="1" t="s">
        <v>65</v>
      </c>
      <c r="AN1952" s="1" t="s">
        <v>5373</v>
      </c>
      <c r="AO1952" s="1"/>
      <c r="AP1952" s="2">
        <v>44008.715625</v>
      </c>
      <c r="AQ1952" s="1"/>
      <c r="AR1952" s="1" t="s">
        <v>8045</v>
      </c>
      <c r="AS1952" s="1" t="s">
        <v>8046</v>
      </c>
      <c r="AT1952" s="2">
        <v>44269.931099537</v>
      </c>
    </row>
    <row r="1953" ht="13.5" customHeight="1">
      <c r="A1953" s="1"/>
      <c r="B1953" s="1" t="s">
        <v>46</v>
      </c>
      <c r="C1953" s="1" t="s">
        <v>47</v>
      </c>
      <c r="D1953" s="1"/>
      <c r="E1953" s="1" t="s">
        <v>8047</v>
      </c>
      <c r="F1953" s="1"/>
      <c r="G1953" s="1"/>
      <c r="H1953" s="1" t="s">
        <v>93</v>
      </c>
      <c r="I1953" s="1">
        <v>1192.92</v>
      </c>
      <c r="J1953" s="1"/>
      <c r="K1953" s="1"/>
      <c r="L1953" s="1"/>
      <c r="M1953" s="1" t="s">
        <v>8048</v>
      </c>
      <c r="N1953" s="1" t="s">
        <v>142</v>
      </c>
      <c r="O1953" s="1" t="s">
        <v>143</v>
      </c>
      <c r="P1953" s="2">
        <v>43756.3175462963</v>
      </c>
      <c r="Q1953" s="1" t="s">
        <v>55</v>
      </c>
      <c r="R1953" s="1"/>
      <c r="S1953" s="1"/>
      <c r="T1953" s="1">
        <v>1506807.0</v>
      </c>
      <c r="U1953" s="1" t="s">
        <v>1026</v>
      </c>
      <c r="V1953" s="1" t="s">
        <v>193</v>
      </c>
      <c r="W1953" s="1" t="s">
        <v>177</v>
      </c>
      <c r="X1953" s="1"/>
      <c r="Y1953" s="1"/>
      <c r="Z1953" s="1" t="s">
        <v>147</v>
      </c>
      <c r="AA1953" s="1" t="s">
        <v>8049</v>
      </c>
      <c r="AB1953" s="1" t="str">
        <f>"04139531000110"</f>
        <v>04139531000110</v>
      </c>
      <c r="AC1953" s="1"/>
      <c r="AD1953" s="1" t="s">
        <v>62</v>
      </c>
      <c r="AE1953" s="1"/>
      <c r="AF1953" s="1">
        <v>-54.731667</v>
      </c>
      <c r="AG1953" s="1">
        <v>-2.419167</v>
      </c>
      <c r="AH1953" s="1" t="s">
        <v>8050</v>
      </c>
      <c r="AI1953" s="1"/>
      <c r="AJ1953" s="1" t="s">
        <v>8051</v>
      </c>
      <c r="AK1953" s="1"/>
      <c r="AL1953" s="1"/>
      <c r="AM1953" s="1" t="s">
        <v>65</v>
      </c>
      <c r="AN1953" s="1"/>
      <c r="AO1953" s="1"/>
      <c r="AP1953" s="2">
        <v>43756.3440856481</v>
      </c>
      <c r="AQ1953" s="1"/>
      <c r="AR1953" s="1" t="s">
        <v>280</v>
      </c>
      <c r="AS1953" s="1"/>
      <c r="AT1953" s="2">
        <v>44269.931099537</v>
      </c>
    </row>
    <row r="1954" ht="13.5" customHeight="1">
      <c r="A1954" s="1">
        <v>2038844.0</v>
      </c>
      <c r="B1954" s="1" t="s">
        <v>67</v>
      </c>
      <c r="C1954" s="1" t="s">
        <v>68</v>
      </c>
      <c r="D1954" s="1" t="s">
        <v>46</v>
      </c>
      <c r="E1954" s="1" t="s">
        <v>8052</v>
      </c>
      <c r="F1954" s="1"/>
      <c r="G1954" s="1" t="s">
        <v>70</v>
      </c>
      <c r="H1954" s="1" t="s">
        <v>93</v>
      </c>
      <c r="I1954" s="1">
        <v>245000.0</v>
      </c>
      <c r="J1954" s="1"/>
      <c r="K1954" s="1"/>
      <c r="L1954" s="1" t="s">
        <v>172</v>
      </c>
      <c r="M1954" s="1" t="s">
        <v>8053</v>
      </c>
      <c r="N1954" s="1" t="s">
        <v>142</v>
      </c>
      <c r="O1954" s="1" t="s">
        <v>143</v>
      </c>
      <c r="P1954" s="2">
        <v>43756.2083333333</v>
      </c>
      <c r="Q1954" s="1" t="s">
        <v>74</v>
      </c>
      <c r="R1954" s="1"/>
      <c r="S1954" s="1"/>
      <c r="T1954" s="1">
        <v>1500602.0</v>
      </c>
      <c r="U1954" s="1" t="s">
        <v>5135</v>
      </c>
      <c r="V1954" s="1" t="s">
        <v>193</v>
      </c>
      <c r="W1954" s="1" t="s">
        <v>177</v>
      </c>
      <c r="X1954" s="1"/>
      <c r="Y1954" s="1" t="str">
        <f>"02001017761202078"</f>
        <v>02001017761202078</v>
      </c>
      <c r="Z1954" s="1" t="s">
        <v>147</v>
      </c>
      <c r="AA1954" s="1" t="s">
        <v>8054</v>
      </c>
      <c r="AB1954" s="1" t="str">
        <f>"***250911**"</f>
        <v>***250911**</v>
      </c>
      <c r="AC1954" s="1"/>
      <c r="AD1954" s="1"/>
      <c r="AE1954" s="1"/>
      <c r="AF1954" s="1">
        <v>-55.173889</v>
      </c>
      <c r="AG1954" s="1">
        <v>-6.948333</v>
      </c>
      <c r="AH1954" s="1" t="s">
        <v>8055</v>
      </c>
      <c r="AI1954" s="1"/>
      <c r="AJ1954" s="1" t="s">
        <v>172</v>
      </c>
      <c r="AK1954" s="1"/>
      <c r="AL1954" s="1" t="s">
        <v>79</v>
      </c>
      <c r="AM1954" s="1" t="s">
        <v>65</v>
      </c>
      <c r="AN1954" s="1" t="s">
        <v>6258</v>
      </c>
      <c r="AO1954" s="2">
        <v>44047.0</v>
      </c>
      <c r="AP1954" s="2">
        <v>44047.3528240741</v>
      </c>
      <c r="AQ1954" s="1" t="s">
        <v>80</v>
      </c>
      <c r="AR1954" s="1" t="s">
        <v>650</v>
      </c>
      <c r="AS1954" s="1"/>
      <c r="AT1954" s="2">
        <v>44269.931099537</v>
      </c>
    </row>
    <row r="1955" ht="13.5" customHeight="1">
      <c r="A1955" s="1">
        <v>2038843.0</v>
      </c>
      <c r="B1955" s="1" t="s">
        <v>67</v>
      </c>
      <c r="C1955" s="1" t="s">
        <v>68</v>
      </c>
      <c r="D1955" s="1" t="s">
        <v>46</v>
      </c>
      <c r="E1955" s="1" t="s">
        <v>8056</v>
      </c>
      <c r="F1955" s="1"/>
      <c r="G1955" s="1" t="s">
        <v>70</v>
      </c>
      <c r="H1955" s="1" t="s">
        <v>93</v>
      </c>
      <c r="I1955" s="1">
        <v>745000.0</v>
      </c>
      <c r="J1955" s="1"/>
      <c r="K1955" s="1"/>
      <c r="L1955" s="1" t="s">
        <v>172</v>
      </c>
      <c r="M1955" s="1" t="s">
        <v>8057</v>
      </c>
      <c r="N1955" s="1" t="s">
        <v>142</v>
      </c>
      <c r="O1955" s="1" t="s">
        <v>143</v>
      </c>
      <c r="P1955" s="2">
        <v>43756.125</v>
      </c>
      <c r="Q1955" s="1" t="s">
        <v>74</v>
      </c>
      <c r="R1955" s="1"/>
      <c r="S1955" s="1"/>
      <c r="T1955" s="1">
        <v>1505031.0</v>
      </c>
      <c r="U1955" s="1" t="s">
        <v>5123</v>
      </c>
      <c r="V1955" s="1" t="s">
        <v>193</v>
      </c>
      <c r="W1955" s="1" t="s">
        <v>177</v>
      </c>
      <c r="X1955" s="1"/>
      <c r="Y1955" s="1" t="str">
        <f>"02001017760202023"</f>
        <v>02001017760202023</v>
      </c>
      <c r="Z1955" s="1" t="s">
        <v>147</v>
      </c>
      <c r="AA1955" s="1" t="s">
        <v>8058</v>
      </c>
      <c r="AB1955" s="1" t="str">
        <f>"***761271**"</f>
        <v>***761271**</v>
      </c>
      <c r="AC1955" s="1"/>
      <c r="AD1955" s="1"/>
      <c r="AE1955" s="1"/>
      <c r="AF1955" s="1">
        <v>-55.211666</v>
      </c>
      <c r="AG1955" s="1">
        <v>-6.959445</v>
      </c>
      <c r="AH1955" s="1" t="s">
        <v>8059</v>
      </c>
      <c r="AI1955" s="1"/>
      <c r="AJ1955" s="1" t="s">
        <v>172</v>
      </c>
      <c r="AK1955" s="1"/>
      <c r="AL1955" s="1" t="s">
        <v>79</v>
      </c>
      <c r="AM1955" s="1" t="s">
        <v>65</v>
      </c>
      <c r="AN1955" s="1" t="s">
        <v>6258</v>
      </c>
      <c r="AO1955" s="2">
        <v>44047.0</v>
      </c>
      <c r="AP1955" s="2">
        <v>44047.3525462963</v>
      </c>
      <c r="AQ1955" s="1" t="s">
        <v>80</v>
      </c>
      <c r="AR1955" s="1" t="s">
        <v>650</v>
      </c>
      <c r="AS1955" s="1"/>
      <c r="AT1955" s="2">
        <v>44269.931099537</v>
      </c>
    </row>
    <row r="1956" ht="13.5" customHeight="1">
      <c r="A1956" s="1"/>
      <c r="B1956" s="1" t="s">
        <v>46</v>
      </c>
      <c r="C1956" s="1" t="s">
        <v>47</v>
      </c>
      <c r="D1956" s="1"/>
      <c r="E1956" s="1" t="s">
        <v>8060</v>
      </c>
      <c r="F1956" s="1"/>
      <c r="G1956" s="1" t="s">
        <v>49</v>
      </c>
      <c r="H1956" s="1" t="s">
        <v>93</v>
      </c>
      <c r="I1956" s="1">
        <v>900.0</v>
      </c>
      <c r="J1956" s="1"/>
      <c r="K1956" s="1"/>
      <c r="L1956" s="1"/>
      <c r="M1956" s="1" t="s">
        <v>8061</v>
      </c>
      <c r="N1956" s="1" t="s">
        <v>142</v>
      </c>
      <c r="O1956" s="1" t="s">
        <v>143</v>
      </c>
      <c r="P1956" s="2">
        <v>43755.7702314815</v>
      </c>
      <c r="Q1956" s="1" t="s">
        <v>373</v>
      </c>
      <c r="R1956" s="1"/>
      <c r="S1956" s="1"/>
      <c r="T1956" s="1">
        <v>2611507.0</v>
      </c>
      <c r="U1956" s="1" t="s">
        <v>8062</v>
      </c>
      <c r="V1956" s="1" t="s">
        <v>1037</v>
      </c>
      <c r="W1956" s="1" t="s">
        <v>59</v>
      </c>
      <c r="X1956" s="1"/>
      <c r="Y1956" s="1"/>
      <c r="Z1956" s="1" t="s">
        <v>147</v>
      </c>
      <c r="AA1956" s="1" t="s">
        <v>8063</v>
      </c>
      <c r="AB1956" s="1" t="str">
        <f>"32306087000116"</f>
        <v>32306087000116</v>
      </c>
      <c r="AC1956" s="1"/>
      <c r="AD1956" s="1" t="s">
        <v>62</v>
      </c>
      <c r="AE1956" s="1"/>
      <c r="AF1956" s="1">
        <v>-35.875889</v>
      </c>
      <c r="AG1956" s="1">
        <v>-8.857112</v>
      </c>
      <c r="AH1956" s="1" t="s">
        <v>8064</v>
      </c>
      <c r="AI1956" s="1"/>
      <c r="AJ1956" s="1" t="s">
        <v>1040</v>
      </c>
      <c r="AK1956" s="1"/>
      <c r="AL1956" s="1"/>
      <c r="AM1956" s="1" t="s">
        <v>65</v>
      </c>
      <c r="AN1956" s="1" t="s">
        <v>643</v>
      </c>
      <c r="AO1956" s="1"/>
      <c r="AP1956" s="2">
        <v>44092.7834837963</v>
      </c>
      <c r="AQ1956" s="1"/>
      <c r="AR1956" s="1" t="s">
        <v>280</v>
      </c>
      <c r="AS1956" s="1"/>
      <c r="AT1956" s="2">
        <v>44269.931099537</v>
      </c>
    </row>
    <row r="1957" ht="13.5" customHeight="1">
      <c r="A1957" s="1">
        <v>2039988.0</v>
      </c>
      <c r="B1957" s="1" t="s">
        <v>67</v>
      </c>
      <c r="C1957" s="1" t="s">
        <v>68</v>
      </c>
      <c r="D1957" s="1" t="s">
        <v>46</v>
      </c>
      <c r="E1957" s="1" t="s">
        <v>8065</v>
      </c>
      <c r="F1957" s="1"/>
      <c r="G1957" s="1" t="s">
        <v>70</v>
      </c>
      <c r="H1957" s="1" t="s">
        <v>93</v>
      </c>
      <c r="I1957" s="1">
        <v>1000.0</v>
      </c>
      <c r="J1957" s="1"/>
      <c r="K1957" s="1"/>
      <c r="L1957" s="1" t="s">
        <v>291</v>
      </c>
      <c r="M1957" s="1" t="s">
        <v>8066</v>
      </c>
      <c r="N1957" s="1" t="s">
        <v>95</v>
      </c>
      <c r="O1957" s="1" t="s">
        <v>96</v>
      </c>
      <c r="P1957" s="2">
        <v>43755.7083333333</v>
      </c>
      <c r="Q1957" s="1" t="s">
        <v>74</v>
      </c>
      <c r="R1957" s="3">
        <v>43786.0</v>
      </c>
      <c r="S1957" s="1" t="s">
        <v>285</v>
      </c>
      <c r="T1957" s="1">
        <v>3304557.0</v>
      </c>
      <c r="U1957" s="1" t="s">
        <v>286</v>
      </c>
      <c r="V1957" s="1" t="s">
        <v>287</v>
      </c>
      <c r="W1957" s="1" t="s">
        <v>59</v>
      </c>
      <c r="X1957" s="1"/>
      <c r="Y1957" s="1"/>
      <c r="Z1957" s="1" t="s">
        <v>98</v>
      </c>
      <c r="AA1957" s="1" t="s">
        <v>8067</v>
      </c>
      <c r="AB1957" s="1" t="str">
        <f>"***963337**"</f>
        <v>***963337**</v>
      </c>
      <c r="AC1957" s="1"/>
      <c r="AD1957" s="1"/>
      <c r="AE1957" s="1"/>
      <c r="AF1957" s="1">
        <v>-43.175003</v>
      </c>
      <c r="AG1957" s="1">
        <v>-22.903055</v>
      </c>
      <c r="AH1957" s="1" t="s">
        <v>8068</v>
      </c>
      <c r="AI1957" s="1"/>
      <c r="AJ1957" s="1" t="s">
        <v>291</v>
      </c>
      <c r="AK1957" s="1"/>
      <c r="AL1957" s="1" t="s">
        <v>79</v>
      </c>
      <c r="AM1957" s="1" t="s">
        <v>65</v>
      </c>
      <c r="AN1957" s="1" t="s">
        <v>8069</v>
      </c>
      <c r="AO1957" s="2">
        <v>44082.0</v>
      </c>
      <c r="AP1957" s="2">
        <v>44082.666712963</v>
      </c>
      <c r="AQ1957" s="1" t="s">
        <v>80</v>
      </c>
      <c r="AR1957" s="1" t="s">
        <v>1072</v>
      </c>
      <c r="AS1957" s="1"/>
      <c r="AT1957" s="2">
        <v>44269.931099537</v>
      </c>
    </row>
    <row r="1958" ht="13.5" customHeight="1">
      <c r="A1958" s="1"/>
      <c r="B1958" s="1" t="s">
        <v>46</v>
      </c>
      <c r="C1958" s="1" t="s">
        <v>47</v>
      </c>
      <c r="D1958" s="1"/>
      <c r="E1958" s="1" t="s">
        <v>8070</v>
      </c>
      <c r="F1958" s="1"/>
      <c r="G1958" s="1" t="s">
        <v>49</v>
      </c>
      <c r="H1958" s="1" t="s">
        <v>50</v>
      </c>
      <c r="I1958" s="1">
        <v>3000.0</v>
      </c>
      <c r="J1958" s="1"/>
      <c r="K1958" s="1" t="s">
        <v>140</v>
      </c>
      <c r="L1958" s="1"/>
      <c r="M1958" s="1" t="s">
        <v>8071</v>
      </c>
      <c r="N1958" s="1" t="s">
        <v>977</v>
      </c>
      <c r="O1958" s="1" t="s">
        <v>978</v>
      </c>
      <c r="P1958" s="2">
        <v>43755.7071643519</v>
      </c>
      <c r="Q1958" s="1" t="s">
        <v>55</v>
      </c>
      <c r="R1958" s="1"/>
      <c r="S1958" s="1"/>
      <c r="T1958" s="1">
        <v>5107602.0</v>
      </c>
      <c r="U1958" s="1" t="s">
        <v>8072</v>
      </c>
      <c r="V1958" s="1" t="s">
        <v>164</v>
      </c>
      <c r="W1958" s="1" t="s">
        <v>177</v>
      </c>
      <c r="X1958" s="1"/>
      <c r="Y1958" s="1"/>
      <c r="Z1958" s="1" t="s">
        <v>980</v>
      </c>
      <c r="AA1958" s="1" t="s">
        <v>8073</v>
      </c>
      <c r="AB1958" s="1" t="str">
        <f>"02975095000194"</f>
        <v>02975095000194</v>
      </c>
      <c r="AC1958" s="1"/>
      <c r="AD1958" s="1" t="s">
        <v>62</v>
      </c>
      <c r="AE1958" s="1"/>
      <c r="AF1958" s="1">
        <v>-54.706944</v>
      </c>
      <c r="AG1958" s="1">
        <v>-16.416945</v>
      </c>
      <c r="AH1958" s="1" t="s">
        <v>8074</v>
      </c>
      <c r="AI1958" s="1"/>
      <c r="AJ1958" s="1" t="s">
        <v>167</v>
      </c>
      <c r="AK1958" s="1"/>
      <c r="AL1958" s="1"/>
      <c r="AM1958" s="1" t="s">
        <v>65</v>
      </c>
      <c r="AN1958" s="1" t="s">
        <v>6985</v>
      </c>
      <c r="AO1958" s="1"/>
      <c r="AP1958" s="2">
        <v>44004.4913657407</v>
      </c>
      <c r="AQ1958" s="1"/>
      <c r="AR1958" s="1" t="s">
        <v>6029</v>
      </c>
      <c r="AS1958" s="1"/>
      <c r="AT1958" s="2">
        <v>44269.931099537</v>
      </c>
    </row>
    <row r="1959" ht="13.5" customHeight="1">
      <c r="A1959" s="1">
        <v>2035550.0</v>
      </c>
      <c r="B1959" s="1" t="s">
        <v>67</v>
      </c>
      <c r="C1959" s="1" t="s">
        <v>68</v>
      </c>
      <c r="D1959" s="1" t="s">
        <v>46</v>
      </c>
      <c r="E1959" s="1" t="s">
        <v>8075</v>
      </c>
      <c r="F1959" s="1"/>
      <c r="G1959" s="1" t="s">
        <v>70</v>
      </c>
      <c r="H1959" s="1" t="s">
        <v>50</v>
      </c>
      <c r="I1959" s="1">
        <v>10000.0</v>
      </c>
      <c r="J1959" s="1"/>
      <c r="K1959" s="1"/>
      <c r="L1959" s="1" t="s">
        <v>628</v>
      </c>
      <c r="M1959" s="1" t="s">
        <v>8076</v>
      </c>
      <c r="N1959" s="1" t="s">
        <v>142</v>
      </c>
      <c r="O1959" s="1" t="s">
        <v>143</v>
      </c>
      <c r="P1959" s="2">
        <v>43755.625</v>
      </c>
      <c r="Q1959" s="1" t="s">
        <v>373</v>
      </c>
      <c r="R1959" s="3">
        <v>43755.0</v>
      </c>
      <c r="S1959" s="1"/>
      <c r="T1959" s="1">
        <v>2933604.0</v>
      </c>
      <c r="U1959" s="1" t="s">
        <v>7243</v>
      </c>
      <c r="V1959" s="1" t="s">
        <v>632</v>
      </c>
      <c r="W1959" s="1" t="s">
        <v>113</v>
      </c>
      <c r="X1959" s="1"/>
      <c r="Y1959" s="1" t="str">
        <f>"02006000546202098"</f>
        <v>02006000546202098</v>
      </c>
      <c r="Z1959" s="1" t="s">
        <v>147</v>
      </c>
      <c r="AA1959" s="1" t="s">
        <v>8077</v>
      </c>
      <c r="AB1959" s="1" t="str">
        <f>"***185505**"</f>
        <v>***185505**</v>
      </c>
      <c r="AC1959" s="1"/>
      <c r="AD1959" s="1"/>
      <c r="AE1959" s="1"/>
      <c r="AF1959" s="1">
        <v>-42.854446</v>
      </c>
      <c r="AG1959" s="1">
        <v>-10.942223</v>
      </c>
      <c r="AH1959" s="1" t="s">
        <v>8078</v>
      </c>
      <c r="AI1959" s="1"/>
      <c r="AJ1959" s="1" t="s">
        <v>628</v>
      </c>
      <c r="AK1959" s="1"/>
      <c r="AL1959" s="1" t="s">
        <v>79</v>
      </c>
      <c r="AM1959" s="1" t="s">
        <v>65</v>
      </c>
      <c r="AN1959" s="1" t="s">
        <v>152</v>
      </c>
      <c r="AO1959" s="2">
        <v>43908.0</v>
      </c>
      <c r="AP1959" s="2">
        <v>43908.5734837963</v>
      </c>
      <c r="AQ1959" s="1" t="s">
        <v>80</v>
      </c>
      <c r="AR1959" s="1" t="s">
        <v>710</v>
      </c>
      <c r="AS1959" s="1"/>
      <c r="AT1959" s="2">
        <v>44269.931099537</v>
      </c>
    </row>
    <row r="1960" ht="13.5" customHeight="1">
      <c r="A1960" s="1"/>
      <c r="B1960" s="1" t="s">
        <v>46</v>
      </c>
      <c r="C1960" s="1" t="s">
        <v>47</v>
      </c>
      <c r="D1960" s="1"/>
      <c r="E1960" s="1" t="s">
        <v>8079</v>
      </c>
      <c r="F1960" s="1"/>
      <c r="G1960" s="1" t="s">
        <v>49</v>
      </c>
      <c r="H1960" s="1" t="s">
        <v>50</v>
      </c>
      <c r="I1960" s="1">
        <v>10500.0</v>
      </c>
      <c r="J1960" s="1"/>
      <c r="K1960" s="1" t="s">
        <v>51</v>
      </c>
      <c r="L1960" s="1"/>
      <c r="M1960" s="1" t="s">
        <v>8080</v>
      </c>
      <c r="N1960" s="1" t="s">
        <v>212</v>
      </c>
      <c r="O1960" s="1" t="s">
        <v>213</v>
      </c>
      <c r="P1960" s="2">
        <v>43755.6184490741</v>
      </c>
      <c r="Q1960" s="1" t="s">
        <v>55</v>
      </c>
      <c r="R1960" s="1"/>
      <c r="S1960" s="1"/>
      <c r="T1960" s="1">
        <v>5107602.0</v>
      </c>
      <c r="U1960" s="1" t="s">
        <v>8072</v>
      </c>
      <c r="V1960" s="1" t="s">
        <v>164</v>
      </c>
      <c r="W1960" s="1" t="s">
        <v>127</v>
      </c>
      <c r="X1960" s="1"/>
      <c r="Y1960" s="1"/>
      <c r="Z1960" s="1" t="s">
        <v>215</v>
      </c>
      <c r="AA1960" s="1" t="s">
        <v>8081</v>
      </c>
      <c r="AB1960" s="1" t="str">
        <f>"05774238000198"</f>
        <v>05774238000198</v>
      </c>
      <c r="AC1960" s="1"/>
      <c r="AD1960" s="1" t="s">
        <v>62</v>
      </c>
      <c r="AE1960" s="1"/>
      <c r="AF1960" s="1">
        <v>-54.706944</v>
      </c>
      <c r="AG1960" s="1">
        <v>-16.416945</v>
      </c>
      <c r="AH1960" s="1" t="s">
        <v>8082</v>
      </c>
      <c r="AI1960" s="1"/>
      <c r="AJ1960" s="1" t="s">
        <v>167</v>
      </c>
      <c r="AK1960" s="1"/>
      <c r="AL1960" s="1"/>
      <c r="AM1960" s="1" t="s">
        <v>65</v>
      </c>
      <c r="AN1960" s="1" t="s">
        <v>6985</v>
      </c>
      <c r="AO1960" s="1"/>
      <c r="AP1960" s="2">
        <v>44004.4915972222</v>
      </c>
      <c r="AQ1960" s="1"/>
      <c r="AR1960" s="1" t="s">
        <v>721</v>
      </c>
      <c r="AS1960" s="1"/>
      <c r="AT1960" s="2">
        <v>44269.931099537</v>
      </c>
    </row>
    <row r="1961" ht="13.5" customHeight="1">
      <c r="A1961" s="1">
        <v>2034680.0</v>
      </c>
      <c r="B1961" s="1" t="s">
        <v>67</v>
      </c>
      <c r="C1961" s="1" t="s">
        <v>68</v>
      </c>
      <c r="D1961" s="1" t="s">
        <v>46</v>
      </c>
      <c r="E1961" s="1" t="s">
        <v>8083</v>
      </c>
      <c r="F1961" s="1"/>
      <c r="G1961" s="1" t="s">
        <v>70</v>
      </c>
      <c r="H1961" s="1" t="s">
        <v>50</v>
      </c>
      <c r="I1961" s="1">
        <v>700.0</v>
      </c>
      <c r="J1961" s="1"/>
      <c r="K1961" s="1"/>
      <c r="L1961" s="1" t="s">
        <v>264</v>
      </c>
      <c r="M1961" s="1" t="s">
        <v>8084</v>
      </c>
      <c r="N1961" s="1" t="s">
        <v>53</v>
      </c>
      <c r="O1961" s="1" t="s">
        <v>54</v>
      </c>
      <c r="P1961" s="2">
        <v>43755.5833333333</v>
      </c>
      <c r="Q1961" s="1" t="s">
        <v>74</v>
      </c>
      <c r="R1961" s="3">
        <v>43754.0</v>
      </c>
      <c r="S1961" s="1"/>
      <c r="T1961" s="1">
        <v>4205407.0</v>
      </c>
      <c r="U1961" s="1" t="s">
        <v>1069</v>
      </c>
      <c r="V1961" s="1" t="s">
        <v>267</v>
      </c>
      <c r="W1961" s="1" t="s">
        <v>288</v>
      </c>
      <c r="X1961" s="1"/>
      <c r="Y1961" s="1"/>
      <c r="Z1961" s="1" t="s">
        <v>60</v>
      </c>
      <c r="AA1961" s="1" t="s">
        <v>8085</v>
      </c>
      <c r="AB1961" s="1" t="str">
        <f>"***129309**"</f>
        <v>***129309**</v>
      </c>
      <c r="AC1961" s="1"/>
      <c r="AD1961" s="1"/>
      <c r="AE1961" s="1"/>
      <c r="AF1961" s="1">
        <v>-48.375553</v>
      </c>
      <c r="AG1961" s="1">
        <v>-27.463612</v>
      </c>
      <c r="AH1961" s="1" t="s">
        <v>8086</v>
      </c>
      <c r="AI1961" s="1"/>
      <c r="AJ1961" s="1" t="s">
        <v>264</v>
      </c>
      <c r="AK1961" s="1"/>
      <c r="AL1961" s="1" t="s">
        <v>79</v>
      </c>
      <c r="AM1961" s="1" t="s">
        <v>65</v>
      </c>
      <c r="AN1961" s="1" t="s">
        <v>152</v>
      </c>
      <c r="AO1961" s="2">
        <v>43889.0</v>
      </c>
      <c r="AP1961" s="2">
        <v>43889.5272337963</v>
      </c>
      <c r="AQ1961" s="1" t="s">
        <v>80</v>
      </c>
      <c r="AR1961" s="1" t="s">
        <v>3642</v>
      </c>
      <c r="AS1961" s="1"/>
      <c r="AT1961" s="2">
        <v>44269.931099537</v>
      </c>
    </row>
    <row r="1962" ht="13.5" customHeight="1">
      <c r="A1962" s="1"/>
      <c r="B1962" s="1" t="s">
        <v>46</v>
      </c>
      <c r="C1962" s="1" t="s">
        <v>47</v>
      </c>
      <c r="D1962" s="1"/>
      <c r="E1962" s="1" t="s">
        <v>8087</v>
      </c>
      <c r="F1962" s="1"/>
      <c r="G1962" s="1"/>
      <c r="H1962" s="1" t="s">
        <v>93</v>
      </c>
      <c r="I1962" s="1">
        <v>1730000.0</v>
      </c>
      <c r="J1962" s="1"/>
      <c r="K1962" s="1"/>
      <c r="L1962" s="1"/>
      <c r="M1962" s="1" t="s">
        <v>8088</v>
      </c>
      <c r="N1962" s="1" t="s">
        <v>142</v>
      </c>
      <c r="O1962" s="1" t="s">
        <v>143</v>
      </c>
      <c r="P1962" s="2">
        <v>43755.5689583333</v>
      </c>
      <c r="Q1962" s="1" t="s">
        <v>373</v>
      </c>
      <c r="R1962" s="1"/>
      <c r="S1962" s="1"/>
      <c r="T1962" s="1">
        <v>5101902.0</v>
      </c>
      <c r="U1962" s="1" t="s">
        <v>7486</v>
      </c>
      <c r="V1962" s="1" t="s">
        <v>164</v>
      </c>
      <c r="W1962" s="1" t="s">
        <v>177</v>
      </c>
      <c r="X1962" s="1"/>
      <c r="Y1962" s="1"/>
      <c r="Z1962" s="1" t="s">
        <v>147</v>
      </c>
      <c r="AA1962" s="1" t="s">
        <v>8089</v>
      </c>
      <c r="AB1962" s="1" t="str">
        <f>"***484649**"</f>
        <v>***484649**</v>
      </c>
      <c r="AC1962" s="1"/>
      <c r="AD1962" s="1" t="s">
        <v>149</v>
      </c>
      <c r="AE1962" s="1"/>
      <c r="AF1962" s="1">
        <v>-57.794724</v>
      </c>
      <c r="AG1962" s="1">
        <v>-12.616389</v>
      </c>
      <c r="AH1962" s="1" t="s">
        <v>8090</v>
      </c>
      <c r="AI1962" s="1"/>
      <c r="AJ1962" s="1" t="s">
        <v>172</v>
      </c>
      <c r="AK1962" s="1"/>
      <c r="AL1962" s="1"/>
      <c r="AM1962" s="1" t="s">
        <v>65</v>
      </c>
      <c r="AN1962" s="1" t="s">
        <v>7489</v>
      </c>
      <c r="AO1962" s="1"/>
      <c r="AP1962" s="2">
        <v>43755.6827314815</v>
      </c>
      <c r="AQ1962" s="1"/>
      <c r="AR1962" s="1" t="s">
        <v>8091</v>
      </c>
      <c r="AS1962" s="1" t="s">
        <v>4933</v>
      </c>
      <c r="AT1962" s="2">
        <v>44269.931099537</v>
      </c>
    </row>
    <row r="1963" ht="13.5" customHeight="1">
      <c r="A1963" s="1">
        <v>2038731.0</v>
      </c>
      <c r="B1963" s="1" t="s">
        <v>67</v>
      </c>
      <c r="C1963" s="1" t="s">
        <v>68</v>
      </c>
      <c r="D1963" s="1" t="s">
        <v>46</v>
      </c>
      <c r="E1963" s="1" t="s">
        <v>8092</v>
      </c>
      <c r="F1963" s="1"/>
      <c r="G1963" s="1" t="s">
        <v>70</v>
      </c>
      <c r="H1963" s="1" t="s">
        <v>93</v>
      </c>
      <c r="I1963" s="1">
        <v>2500.0</v>
      </c>
      <c r="J1963" s="1"/>
      <c r="K1963" s="1"/>
      <c r="L1963" s="1" t="s">
        <v>483</v>
      </c>
      <c r="M1963" s="1" t="s">
        <v>8093</v>
      </c>
      <c r="N1963" s="1" t="s">
        <v>283</v>
      </c>
      <c r="O1963" s="1" t="s">
        <v>978</v>
      </c>
      <c r="P1963" s="2">
        <v>43755.5416666667</v>
      </c>
      <c r="Q1963" s="1" t="s">
        <v>74</v>
      </c>
      <c r="R1963" s="3">
        <v>43526.0</v>
      </c>
      <c r="S1963" s="1"/>
      <c r="T1963" s="1">
        <v>1302603.0</v>
      </c>
      <c r="U1963" s="1" t="s">
        <v>3499</v>
      </c>
      <c r="V1963" s="1" t="s">
        <v>486</v>
      </c>
      <c r="W1963" s="1" t="s">
        <v>177</v>
      </c>
      <c r="X1963" s="1"/>
      <c r="Y1963" s="1" t="str">
        <f>"02005001402202069"</f>
        <v>02005001402202069</v>
      </c>
      <c r="Z1963" s="1" t="s">
        <v>980</v>
      </c>
      <c r="AA1963" s="1" t="s">
        <v>8094</v>
      </c>
      <c r="AB1963" s="1" t="str">
        <f>"***434332**"</f>
        <v>***434332**</v>
      </c>
      <c r="AC1963" s="1"/>
      <c r="AD1963" s="1"/>
      <c r="AE1963" s="1"/>
      <c r="AF1963" s="1">
        <v>-59.981113</v>
      </c>
      <c r="AG1963" s="1">
        <v>-3.135</v>
      </c>
      <c r="AH1963" s="1" t="s">
        <v>8095</v>
      </c>
      <c r="AI1963" s="1"/>
      <c r="AJ1963" s="1" t="s">
        <v>483</v>
      </c>
      <c r="AK1963" s="1"/>
      <c r="AL1963" s="1" t="s">
        <v>79</v>
      </c>
      <c r="AM1963" s="1" t="s">
        <v>65</v>
      </c>
      <c r="AN1963" s="1" t="s">
        <v>534</v>
      </c>
      <c r="AO1963" s="2">
        <v>44046.0</v>
      </c>
      <c r="AP1963" s="2">
        <v>44046.4959606482</v>
      </c>
      <c r="AQ1963" s="1" t="s">
        <v>80</v>
      </c>
      <c r="AR1963" s="1" t="s">
        <v>6447</v>
      </c>
      <c r="AS1963" s="1"/>
      <c r="AT1963" s="2">
        <v>44269.931099537</v>
      </c>
    </row>
    <row r="1964" ht="13.5" customHeight="1">
      <c r="A1964" s="1"/>
      <c r="B1964" s="1" t="s">
        <v>46</v>
      </c>
      <c r="C1964" s="1" t="s">
        <v>47</v>
      </c>
      <c r="D1964" s="1"/>
      <c r="E1964" s="1" t="s">
        <v>8096</v>
      </c>
      <c r="F1964" s="1"/>
      <c r="G1964" s="1"/>
      <c r="H1964" s="1" t="s">
        <v>93</v>
      </c>
      <c r="I1964" s="1">
        <v>875000.0</v>
      </c>
      <c r="J1964" s="1"/>
      <c r="K1964" s="1"/>
      <c r="L1964" s="1"/>
      <c r="M1964" s="1" t="s">
        <v>8097</v>
      </c>
      <c r="N1964" s="1" t="s">
        <v>142</v>
      </c>
      <c r="O1964" s="1" t="s">
        <v>143</v>
      </c>
      <c r="P1964" s="2">
        <v>43755.4932523148</v>
      </c>
      <c r="Q1964" s="1" t="s">
        <v>373</v>
      </c>
      <c r="R1964" s="1"/>
      <c r="S1964" s="1"/>
      <c r="T1964" s="1">
        <v>5101902.0</v>
      </c>
      <c r="U1964" s="1" t="s">
        <v>7486</v>
      </c>
      <c r="V1964" s="1" t="s">
        <v>164</v>
      </c>
      <c r="W1964" s="1" t="s">
        <v>177</v>
      </c>
      <c r="X1964" s="1"/>
      <c r="Y1964" s="1"/>
      <c r="Z1964" s="1" t="s">
        <v>147</v>
      </c>
      <c r="AA1964" s="1" t="s">
        <v>8089</v>
      </c>
      <c r="AB1964" s="1" t="str">
        <f>"***484649**"</f>
        <v>***484649**</v>
      </c>
      <c r="AC1964" s="1"/>
      <c r="AD1964" s="1" t="s">
        <v>149</v>
      </c>
      <c r="AE1964" s="1"/>
      <c r="AF1964" s="1">
        <v>-57.794998</v>
      </c>
      <c r="AG1964" s="1">
        <v>-12.616944</v>
      </c>
      <c r="AH1964" s="1" t="s">
        <v>8098</v>
      </c>
      <c r="AI1964" s="1"/>
      <c r="AJ1964" s="1" t="s">
        <v>172</v>
      </c>
      <c r="AK1964" s="1"/>
      <c r="AL1964" s="1"/>
      <c r="AM1964" s="1" t="s">
        <v>65</v>
      </c>
      <c r="AN1964" s="1" t="s">
        <v>7489</v>
      </c>
      <c r="AO1964" s="1"/>
      <c r="AP1964" s="2">
        <v>43755.6090625</v>
      </c>
      <c r="AQ1964" s="1"/>
      <c r="AR1964" s="1" t="s">
        <v>169</v>
      </c>
      <c r="AS1964" s="1" t="s">
        <v>8099</v>
      </c>
      <c r="AT1964" s="2">
        <v>44269.931099537</v>
      </c>
    </row>
    <row r="1965" ht="13.5" customHeight="1">
      <c r="A1965" s="1"/>
      <c r="B1965" s="1" t="s">
        <v>46</v>
      </c>
      <c r="C1965" s="1" t="s">
        <v>47</v>
      </c>
      <c r="D1965" s="1"/>
      <c r="E1965" s="1" t="s">
        <v>8100</v>
      </c>
      <c r="F1965" s="1"/>
      <c r="G1965" s="1"/>
      <c r="H1965" s="1" t="s">
        <v>93</v>
      </c>
      <c r="I1965" s="1">
        <v>188100.0</v>
      </c>
      <c r="J1965" s="1"/>
      <c r="K1965" s="1"/>
      <c r="L1965" s="1"/>
      <c r="M1965" s="1" t="s">
        <v>8101</v>
      </c>
      <c r="N1965" s="1" t="s">
        <v>142</v>
      </c>
      <c r="O1965" s="1" t="s">
        <v>143</v>
      </c>
      <c r="P1965" s="2">
        <v>43755.491412037</v>
      </c>
      <c r="Q1965" s="1" t="s">
        <v>373</v>
      </c>
      <c r="R1965" s="1"/>
      <c r="S1965" s="1"/>
      <c r="T1965" s="1">
        <v>1302405.0</v>
      </c>
      <c r="U1965" s="1" t="s">
        <v>2258</v>
      </c>
      <c r="V1965" s="1" t="s">
        <v>486</v>
      </c>
      <c r="W1965" s="1" t="s">
        <v>177</v>
      </c>
      <c r="X1965" s="1"/>
      <c r="Y1965" s="1"/>
      <c r="Z1965" s="1" t="s">
        <v>147</v>
      </c>
      <c r="AA1965" s="1" t="s">
        <v>8102</v>
      </c>
      <c r="AB1965" s="1" t="str">
        <f>"***076582**"</f>
        <v>***076582**</v>
      </c>
      <c r="AC1965" s="1"/>
      <c r="AD1965" s="1" t="s">
        <v>2103</v>
      </c>
      <c r="AE1965" s="1"/>
      <c r="AF1965" s="1">
        <v>-65.747215</v>
      </c>
      <c r="AG1965" s="1">
        <v>-9.657222</v>
      </c>
      <c r="AH1965" s="1" t="s">
        <v>8103</v>
      </c>
      <c r="AI1965" s="1"/>
      <c r="AJ1965" s="1" t="s">
        <v>172</v>
      </c>
      <c r="AK1965" s="1"/>
      <c r="AL1965" s="1"/>
      <c r="AM1965" s="1"/>
      <c r="AN1965" s="1" t="s">
        <v>6258</v>
      </c>
      <c r="AO1965" s="1"/>
      <c r="AP1965" s="2">
        <v>43755.5218402778</v>
      </c>
      <c r="AQ1965" s="1"/>
      <c r="AR1965" s="1" t="s">
        <v>644</v>
      </c>
      <c r="AS1965" s="1"/>
      <c r="AT1965" s="2">
        <v>44269.931099537</v>
      </c>
    </row>
    <row r="1966" ht="13.5" customHeight="1">
      <c r="A1966" s="1">
        <v>2034682.0</v>
      </c>
      <c r="B1966" s="1" t="s">
        <v>67</v>
      </c>
      <c r="C1966" s="1" t="s">
        <v>89</v>
      </c>
      <c r="D1966" s="1" t="s">
        <v>67</v>
      </c>
      <c r="E1966" s="1" t="s">
        <v>8104</v>
      </c>
      <c r="F1966" s="1"/>
      <c r="G1966" s="1" t="s">
        <v>70</v>
      </c>
      <c r="H1966" s="1" t="s">
        <v>93</v>
      </c>
      <c r="I1966" s="1">
        <v>2893.5</v>
      </c>
      <c r="J1966" s="1"/>
      <c r="K1966" s="1"/>
      <c r="L1966" s="1" t="s">
        <v>264</v>
      </c>
      <c r="M1966" s="1" t="s">
        <v>5395</v>
      </c>
      <c r="N1966" s="1" t="s">
        <v>142</v>
      </c>
      <c r="O1966" s="1" t="s">
        <v>143</v>
      </c>
      <c r="P1966" s="2">
        <v>43755.4583333333</v>
      </c>
      <c r="Q1966" s="1" t="s">
        <v>74</v>
      </c>
      <c r="R1966" s="3">
        <v>43760.0</v>
      </c>
      <c r="S1966" s="1"/>
      <c r="T1966" s="1">
        <v>4215406.0</v>
      </c>
      <c r="U1966" s="1" t="s">
        <v>621</v>
      </c>
      <c r="V1966" s="1" t="s">
        <v>267</v>
      </c>
      <c r="W1966" s="1" t="s">
        <v>59</v>
      </c>
      <c r="X1966" s="1"/>
      <c r="Y1966" s="1" t="str">
        <f>"02026000451202036"</f>
        <v>02026000451202036</v>
      </c>
      <c r="Z1966" s="1" t="s">
        <v>147</v>
      </c>
      <c r="AA1966" s="1" t="s">
        <v>622</v>
      </c>
      <c r="AB1966" s="1" t="str">
        <f>"85101905000100"</f>
        <v>85101905000100</v>
      </c>
      <c r="AC1966" s="1"/>
      <c r="AD1966" s="1"/>
      <c r="AE1966" s="1"/>
      <c r="AF1966" s="1">
        <v>-51.406944</v>
      </c>
      <c r="AG1966" s="1">
        <v>-26.910555</v>
      </c>
      <c r="AH1966" s="1" t="s">
        <v>8105</v>
      </c>
      <c r="AI1966" s="1"/>
      <c r="AJ1966" s="1" t="s">
        <v>264</v>
      </c>
      <c r="AK1966" s="1"/>
      <c r="AL1966" s="1" t="s">
        <v>79</v>
      </c>
      <c r="AM1966" s="1" t="s">
        <v>65</v>
      </c>
      <c r="AN1966" s="1" t="s">
        <v>624</v>
      </c>
      <c r="AO1966" s="2">
        <v>43889.0</v>
      </c>
      <c r="AP1966" s="2">
        <v>44006.8130324074</v>
      </c>
      <c r="AQ1966" s="1" t="s">
        <v>89</v>
      </c>
      <c r="AR1966" s="1" t="s">
        <v>625</v>
      </c>
      <c r="AS1966" s="1"/>
      <c r="AT1966" s="2">
        <v>44269.931099537</v>
      </c>
    </row>
    <row r="1967" ht="13.5" customHeight="1">
      <c r="A1967" s="1">
        <v>2034709.0</v>
      </c>
      <c r="B1967" s="1" t="s">
        <v>67</v>
      </c>
      <c r="C1967" s="1" t="s">
        <v>89</v>
      </c>
      <c r="D1967" s="1" t="s">
        <v>67</v>
      </c>
      <c r="E1967" s="1" t="s">
        <v>8106</v>
      </c>
      <c r="F1967" s="1"/>
      <c r="G1967" s="1" t="s">
        <v>70</v>
      </c>
      <c r="H1967" s="1" t="s">
        <v>50</v>
      </c>
      <c r="I1967" s="1">
        <v>500.0</v>
      </c>
      <c r="J1967" s="1"/>
      <c r="K1967" s="1"/>
      <c r="L1967" s="1" t="s">
        <v>64</v>
      </c>
      <c r="M1967" s="1" t="s">
        <v>8107</v>
      </c>
      <c r="N1967" s="1" t="s">
        <v>95</v>
      </c>
      <c r="O1967" s="1" t="s">
        <v>96</v>
      </c>
      <c r="P1967" s="2">
        <v>43755.4583333333</v>
      </c>
      <c r="Q1967" s="1" t="s">
        <v>373</v>
      </c>
      <c r="R1967" s="3">
        <v>43755.0</v>
      </c>
      <c r="S1967" s="1"/>
      <c r="T1967" s="1">
        <v>3529005.0</v>
      </c>
      <c r="U1967" s="1" t="s">
        <v>7210</v>
      </c>
      <c r="V1967" s="1" t="s">
        <v>58</v>
      </c>
      <c r="W1967" s="1" t="s">
        <v>127</v>
      </c>
      <c r="X1967" s="1"/>
      <c r="Y1967" s="1" t="str">
        <f>"02027001202202058"</f>
        <v>02027001202202058</v>
      </c>
      <c r="Z1967" s="1" t="s">
        <v>98</v>
      </c>
      <c r="AA1967" s="1" t="s">
        <v>7211</v>
      </c>
      <c r="AB1967" s="1" t="str">
        <f>"***360978**"</f>
        <v>***360978**</v>
      </c>
      <c r="AC1967" s="1"/>
      <c r="AD1967" s="1"/>
      <c r="AE1967" s="1"/>
      <c r="AF1967" s="1">
        <v>-49.931946</v>
      </c>
      <c r="AG1967" s="1">
        <v>-22.189165</v>
      </c>
      <c r="AH1967" s="1" t="s">
        <v>8108</v>
      </c>
      <c r="AI1967" s="1"/>
      <c r="AJ1967" s="1" t="s">
        <v>64</v>
      </c>
      <c r="AK1967" s="1"/>
      <c r="AL1967" s="1" t="s">
        <v>79</v>
      </c>
      <c r="AM1967" s="1" t="s">
        <v>65</v>
      </c>
      <c r="AN1967" s="1"/>
      <c r="AO1967" s="2">
        <v>43889.0</v>
      </c>
      <c r="AP1967" s="2">
        <v>44008.771400463</v>
      </c>
      <c r="AQ1967" s="1" t="s">
        <v>89</v>
      </c>
      <c r="AR1967" s="1" t="s">
        <v>462</v>
      </c>
      <c r="AS1967" s="1"/>
      <c r="AT1967" s="2">
        <v>44269.931099537</v>
      </c>
    </row>
    <row r="1968" ht="13.5" customHeight="1">
      <c r="A1968" s="1"/>
      <c r="B1968" s="1" t="s">
        <v>46</v>
      </c>
      <c r="C1968" s="1" t="s">
        <v>47</v>
      </c>
      <c r="D1968" s="1"/>
      <c r="E1968" s="1" t="s">
        <v>8109</v>
      </c>
      <c r="F1968" s="1"/>
      <c r="G1968" s="1"/>
      <c r="H1968" s="1" t="s">
        <v>93</v>
      </c>
      <c r="I1968" s="1">
        <v>60000.0</v>
      </c>
      <c r="J1968" s="1"/>
      <c r="K1968" s="1" t="s">
        <v>140</v>
      </c>
      <c r="L1968" s="1"/>
      <c r="M1968" s="1" t="s">
        <v>8110</v>
      </c>
      <c r="N1968" s="1" t="s">
        <v>142</v>
      </c>
      <c r="O1968" s="1" t="s">
        <v>143</v>
      </c>
      <c r="P1968" s="2">
        <v>43755.4400578704</v>
      </c>
      <c r="Q1968" s="1" t="s">
        <v>373</v>
      </c>
      <c r="R1968" s="1"/>
      <c r="S1968" s="1"/>
      <c r="T1968" s="1">
        <v>5101902.0</v>
      </c>
      <c r="U1968" s="1" t="s">
        <v>7486</v>
      </c>
      <c r="V1968" s="1" t="s">
        <v>164</v>
      </c>
      <c r="W1968" s="1" t="s">
        <v>177</v>
      </c>
      <c r="X1968" s="1"/>
      <c r="Y1968" s="1"/>
      <c r="Z1968" s="1" t="s">
        <v>147</v>
      </c>
      <c r="AA1968" s="1" t="s">
        <v>8111</v>
      </c>
      <c r="AB1968" s="1" t="str">
        <f>"***484649**"</f>
        <v>***484649**</v>
      </c>
      <c r="AC1968" s="1"/>
      <c r="AD1968" s="1" t="s">
        <v>149</v>
      </c>
      <c r="AE1968" s="1"/>
      <c r="AF1968" s="1">
        <v>-57.794998</v>
      </c>
      <c r="AG1968" s="1">
        <v>-12.616944</v>
      </c>
      <c r="AH1968" s="1" t="s">
        <v>8112</v>
      </c>
      <c r="AI1968" s="1"/>
      <c r="AJ1968" s="1" t="s">
        <v>172</v>
      </c>
      <c r="AK1968" s="1"/>
      <c r="AL1968" s="1"/>
      <c r="AM1968" s="1" t="s">
        <v>65</v>
      </c>
      <c r="AN1968" s="1" t="s">
        <v>7489</v>
      </c>
      <c r="AO1968" s="1"/>
      <c r="AP1968" s="2">
        <v>43755.4727546296</v>
      </c>
      <c r="AQ1968" s="1"/>
      <c r="AR1968" s="1" t="s">
        <v>793</v>
      </c>
      <c r="AS1968" s="1"/>
      <c r="AT1968" s="2">
        <v>44269.931099537</v>
      </c>
    </row>
    <row r="1969" ht="13.5" customHeight="1">
      <c r="A1969" s="1"/>
      <c r="B1969" s="1" t="s">
        <v>46</v>
      </c>
      <c r="C1969" s="1" t="s">
        <v>47</v>
      </c>
      <c r="D1969" s="1"/>
      <c r="E1969" s="1" t="s">
        <v>8113</v>
      </c>
      <c r="F1969" s="1"/>
      <c r="G1969" s="1"/>
      <c r="H1969" s="1" t="s">
        <v>93</v>
      </c>
      <c r="I1969" s="1">
        <v>8500.0</v>
      </c>
      <c r="J1969" s="1"/>
      <c r="K1969" s="1" t="s">
        <v>51</v>
      </c>
      <c r="L1969" s="1"/>
      <c r="M1969" s="1" t="s">
        <v>8114</v>
      </c>
      <c r="N1969" s="1" t="s">
        <v>977</v>
      </c>
      <c r="O1969" s="1" t="s">
        <v>978</v>
      </c>
      <c r="P1969" s="2">
        <v>43755.4371875</v>
      </c>
      <c r="Q1969" s="1" t="s">
        <v>74</v>
      </c>
      <c r="R1969" s="1"/>
      <c r="S1969" s="1"/>
      <c r="T1969" s="1">
        <v>5107602.0</v>
      </c>
      <c r="U1969" s="1" t="s">
        <v>8072</v>
      </c>
      <c r="V1969" s="1" t="s">
        <v>164</v>
      </c>
      <c r="W1969" s="1" t="s">
        <v>177</v>
      </c>
      <c r="X1969" s="1"/>
      <c r="Y1969" s="1"/>
      <c r="Z1969" s="1" t="s">
        <v>980</v>
      </c>
      <c r="AA1969" s="1" t="s">
        <v>8115</v>
      </c>
      <c r="AB1969" s="1" t="str">
        <f>"29316596000115"</f>
        <v>29316596000115</v>
      </c>
      <c r="AC1969" s="1"/>
      <c r="AD1969" s="1" t="s">
        <v>62</v>
      </c>
      <c r="AE1969" s="1"/>
      <c r="AF1969" s="1">
        <v>-54.706944</v>
      </c>
      <c r="AG1969" s="1">
        <v>-16.416945</v>
      </c>
      <c r="AH1969" s="1" t="s">
        <v>8116</v>
      </c>
      <c r="AI1969" s="1"/>
      <c r="AJ1969" s="1" t="s">
        <v>167</v>
      </c>
      <c r="AK1969" s="1"/>
      <c r="AL1969" s="1"/>
      <c r="AM1969" s="1" t="s">
        <v>65</v>
      </c>
      <c r="AN1969" s="1" t="s">
        <v>6985</v>
      </c>
      <c r="AO1969" s="1"/>
      <c r="AP1969" s="2">
        <v>43755.4567824074</v>
      </c>
      <c r="AQ1969" s="1"/>
      <c r="AR1969" s="1" t="s">
        <v>3544</v>
      </c>
      <c r="AS1969" s="1"/>
      <c r="AT1969" s="2">
        <v>44269.931099537</v>
      </c>
    </row>
    <row r="1970" ht="13.5" customHeight="1">
      <c r="A1970" s="1">
        <v>2034681.0</v>
      </c>
      <c r="B1970" s="1" t="s">
        <v>67</v>
      </c>
      <c r="C1970" s="1" t="s">
        <v>89</v>
      </c>
      <c r="D1970" s="1" t="s">
        <v>67</v>
      </c>
      <c r="E1970" s="1" t="s">
        <v>8117</v>
      </c>
      <c r="F1970" s="1"/>
      <c r="G1970" s="1" t="s">
        <v>70</v>
      </c>
      <c r="H1970" s="1" t="s">
        <v>50</v>
      </c>
      <c r="I1970" s="1">
        <v>700.0</v>
      </c>
      <c r="J1970" s="1"/>
      <c r="K1970" s="1"/>
      <c r="L1970" s="1" t="s">
        <v>264</v>
      </c>
      <c r="M1970" s="1" t="s">
        <v>8118</v>
      </c>
      <c r="N1970" s="1" t="s">
        <v>53</v>
      </c>
      <c r="O1970" s="1" t="s">
        <v>54</v>
      </c>
      <c r="P1970" s="2">
        <v>43755.4166666667</v>
      </c>
      <c r="Q1970" s="1" t="s">
        <v>74</v>
      </c>
      <c r="R1970" s="3">
        <v>43754.0</v>
      </c>
      <c r="S1970" s="1"/>
      <c r="T1970" s="1">
        <v>4205407.0</v>
      </c>
      <c r="U1970" s="1" t="s">
        <v>1069</v>
      </c>
      <c r="V1970" s="1" t="s">
        <v>267</v>
      </c>
      <c r="W1970" s="1" t="s">
        <v>288</v>
      </c>
      <c r="X1970" s="1"/>
      <c r="Y1970" s="1" t="str">
        <f>"02026000075202080"</f>
        <v>02026000075202080</v>
      </c>
      <c r="Z1970" s="1" t="s">
        <v>60</v>
      </c>
      <c r="AA1970" s="1" t="s">
        <v>8085</v>
      </c>
      <c r="AB1970" s="1" t="str">
        <f>"***129309**"</f>
        <v>***129309**</v>
      </c>
      <c r="AC1970" s="1"/>
      <c r="AD1970" s="1"/>
      <c r="AE1970" s="1"/>
      <c r="AF1970" s="1"/>
      <c r="AG1970" s="1">
        <v>-27.463612</v>
      </c>
      <c r="AH1970" s="1" t="s">
        <v>8119</v>
      </c>
      <c r="AI1970" s="1"/>
      <c r="AJ1970" s="1" t="s">
        <v>264</v>
      </c>
      <c r="AK1970" s="1"/>
      <c r="AL1970" s="1" t="s">
        <v>79</v>
      </c>
      <c r="AM1970" s="1" t="s">
        <v>65</v>
      </c>
      <c r="AN1970" s="1" t="s">
        <v>152</v>
      </c>
      <c r="AO1970" s="2">
        <v>43889.0</v>
      </c>
      <c r="AP1970" s="2">
        <v>44119.8513425926</v>
      </c>
      <c r="AQ1970" s="1" t="s">
        <v>89</v>
      </c>
      <c r="AR1970" s="1" t="s">
        <v>3642</v>
      </c>
      <c r="AS1970" s="1"/>
      <c r="AT1970" s="2">
        <v>44269.931099537</v>
      </c>
    </row>
    <row r="1971" ht="13.5" customHeight="1">
      <c r="A1971" s="1"/>
      <c r="B1971" s="1" t="s">
        <v>46</v>
      </c>
      <c r="C1971" s="1" t="s">
        <v>47</v>
      </c>
      <c r="D1971" s="1"/>
      <c r="E1971" s="1" t="s">
        <v>8120</v>
      </c>
      <c r="F1971" s="1"/>
      <c r="G1971" s="1" t="s">
        <v>49</v>
      </c>
      <c r="H1971" s="1" t="s">
        <v>93</v>
      </c>
      <c r="I1971" s="1">
        <v>5500.0</v>
      </c>
      <c r="J1971" s="1"/>
      <c r="K1971" s="1"/>
      <c r="L1971" s="1"/>
      <c r="M1971" s="1" t="s">
        <v>8121</v>
      </c>
      <c r="N1971" s="1" t="s">
        <v>95</v>
      </c>
      <c r="O1971" s="1" t="s">
        <v>96</v>
      </c>
      <c r="P1971" s="2">
        <v>43755.4125347222</v>
      </c>
      <c r="Q1971" s="1" t="s">
        <v>373</v>
      </c>
      <c r="R1971" s="1"/>
      <c r="S1971" s="1"/>
      <c r="T1971" s="1">
        <v>3170206.0</v>
      </c>
      <c r="U1971" s="1" t="s">
        <v>8122</v>
      </c>
      <c r="V1971" s="1" t="s">
        <v>126</v>
      </c>
      <c r="W1971" s="1" t="s">
        <v>127</v>
      </c>
      <c r="X1971" s="1"/>
      <c r="Y1971" s="1"/>
      <c r="Z1971" s="1" t="s">
        <v>98</v>
      </c>
      <c r="AA1971" s="1" t="s">
        <v>8123</v>
      </c>
      <c r="AB1971" s="1" t="str">
        <f>"***876187**"</f>
        <v>***876187**</v>
      </c>
      <c r="AC1971" s="1"/>
      <c r="AD1971" s="1" t="s">
        <v>62</v>
      </c>
      <c r="AE1971" s="1"/>
      <c r="AF1971" s="1">
        <v>-48.254166</v>
      </c>
      <c r="AG1971" s="1">
        <v>-18.892778</v>
      </c>
      <c r="AH1971" s="1" t="s">
        <v>8124</v>
      </c>
      <c r="AI1971" s="1"/>
      <c r="AJ1971" s="1" t="s">
        <v>244</v>
      </c>
      <c r="AK1971" s="1"/>
      <c r="AL1971" s="1"/>
      <c r="AM1971" s="1" t="s">
        <v>65</v>
      </c>
      <c r="AN1971" s="1" t="s">
        <v>8125</v>
      </c>
      <c r="AO1971" s="1"/>
      <c r="AP1971" s="2">
        <v>44054.5630324074</v>
      </c>
      <c r="AQ1971" s="1"/>
      <c r="AR1971" s="1" t="s">
        <v>7984</v>
      </c>
      <c r="AS1971" s="1"/>
      <c r="AT1971" s="2">
        <v>44269.931099537</v>
      </c>
    </row>
    <row r="1972" ht="13.5" customHeight="1">
      <c r="A1972" s="1"/>
      <c r="B1972" s="1" t="s">
        <v>46</v>
      </c>
      <c r="C1972" s="1" t="s">
        <v>47</v>
      </c>
      <c r="D1972" s="1"/>
      <c r="E1972" s="1" t="s">
        <v>8126</v>
      </c>
      <c r="F1972" s="1"/>
      <c r="G1972" s="1"/>
      <c r="H1972" s="1" t="s">
        <v>93</v>
      </c>
      <c r="I1972" s="1">
        <v>225000.0</v>
      </c>
      <c r="J1972" s="1"/>
      <c r="K1972" s="1"/>
      <c r="L1972" s="1"/>
      <c r="M1972" s="1" t="s">
        <v>8127</v>
      </c>
      <c r="N1972" s="1" t="s">
        <v>142</v>
      </c>
      <c r="O1972" s="1" t="s">
        <v>143</v>
      </c>
      <c r="P1972" s="2">
        <v>43755.396099537</v>
      </c>
      <c r="Q1972" s="1" t="s">
        <v>373</v>
      </c>
      <c r="R1972" s="1"/>
      <c r="S1972" s="1"/>
      <c r="T1972" s="1">
        <v>5101902.0</v>
      </c>
      <c r="U1972" s="1" t="s">
        <v>7486</v>
      </c>
      <c r="V1972" s="1" t="s">
        <v>164</v>
      </c>
      <c r="W1972" s="1" t="s">
        <v>127</v>
      </c>
      <c r="X1972" s="1"/>
      <c r="Y1972" s="1"/>
      <c r="Z1972" s="1" t="s">
        <v>147</v>
      </c>
      <c r="AA1972" s="1" t="s">
        <v>8128</v>
      </c>
      <c r="AB1972" s="1" t="str">
        <f>"***484649**"</f>
        <v>***484649**</v>
      </c>
      <c r="AC1972" s="1"/>
      <c r="AD1972" s="1" t="s">
        <v>116</v>
      </c>
      <c r="AE1972" s="1"/>
      <c r="AF1972" s="1">
        <v>-57.781113</v>
      </c>
      <c r="AG1972" s="1">
        <v>-12.630556</v>
      </c>
      <c r="AH1972" s="1" t="s">
        <v>8129</v>
      </c>
      <c r="AI1972" s="1"/>
      <c r="AJ1972" s="1" t="s">
        <v>172</v>
      </c>
      <c r="AK1972" s="1"/>
      <c r="AL1972" s="1"/>
      <c r="AM1972" s="1" t="s">
        <v>65</v>
      </c>
      <c r="AN1972" s="1" t="s">
        <v>7489</v>
      </c>
      <c r="AO1972" s="1"/>
      <c r="AP1972" s="2">
        <v>43758.6053587963</v>
      </c>
      <c r="AQ1972" s="1"/>
      <c r="AR1972" s="1" t="s">
        <v>7880</v>
      </c>
      <c r="AS1972" s="1"/>
      <c r="AT1972" s="2">
        <v>44269.931099537</v>
      </c>
    </row>
    <row r="1973" ht="13.5" customHeight="1">
      <c r="A1973" s="1">
        <v>2039077.0</v>
      </c>
      <c r="B1973" s="1" t="s">
        <v>67</v>
      </c>
      <c r="C1973" s="1" t="s">
        <v>68</v>
      </c>
      <c r="D1973" s="1" t="s">
        <v>46</v>
      </c>
      <c r="E1973" s="1" t="s">
        <v>8130</v>
      </c>
      <c r="F1973" s="1"/>
      <c r="G1973" s="1" t="s">
        <v>70</v>
      </c>
      <c r="H1973" s="1" t="s">
        <v>50</v>
      </c>
      <c r="I1973" s="1">
        <v>5500.0</v>
      </c>
      <c r="J1973" s="1"/>
      <c r="K1973" s="1"/>
      <c r="L1973" s="1" t="s">
        <v>244</v>
      </c>
      <c r="M1973" s="1" t="s">
        <v>8131</v>
      </c>
      <c r="N1973" s="1" t="s">
        <v>95</v>
      </c>
      <c r="O1973" s="1" t="s">
        <v>96</v>
      </c>
      <c r="P1973" s="2">
        <v>43755.3333333333</v>
      </c>
      <c r="Q1973" s="1" t="s">
        <v>373</v>
      </c>
      <c r="R1973" s="3">
        <v>43755.0</v>
      </c>
      <c r="S1973" s="1"/>
      <c r="T1973" s="1">
        <v>3170206.0</v>
      </c>
      <c r="U1973" s="1" t="s">
        <v>8122</v>
      </c>
      <c r="V1973" s="1" t="s">
        <v>126</v>
      </c>
      <c r="W1973" s="1" t="s">
        <v>127</v>
      </c>
      <c r="X1973" s="1"/>
      <c r="Y1973" s="1"/>
      <c r="Z1973" s="1" t="s">
        <v>98</v>
      </c>
      <c r="AA1973" s="1" t="s">
        <v>8123</v>
      </c>
      <c r="AB1973" s="1" t="str">
        <f>"***876187**"</f>
        <v>***876187**</v>
      </c>
      <c r="AC1973" s="1"/>
      <c r="AD1973" s="1"/>
      <c r="AE1973" s="1"/>
      <c r="AF1973" s="1">
        <v>-48.254166</v>
      </c>
      <c r="AG1973" s="1">
        <v>-18.892778</v>
      </c>
      <c r="AH1973" s="1" t="s">
        <v>8132</v>
      </c>
      <c r="AI1973" s="1"/>
      <c r="AJ1973" s="1" t="s">
        <v>244</v>
      </c>
      <c r="AK1973" s="1"/>
      <c r="AL1973" s="1" t="s">
        <v>79</v>
      </c>
      <c r="AM1973" s="1" t="s">
        <v>65</v>
      </c>
      <c r="AN1973" s="1" t="s">
        <v>8125</v>
      </c>
      <c r="AO1973" s="2">
        <v>44054.0</v>
      </c>
      <c r="AP1973" s="2">
        <v>44054.4395949074</v>
      </c>
      <c r="AQ1973" s="1" t="s">
        <v>80</v>
      </c>
      <c r="AR1973" s="1" t="s">
        <v>3822</v>
      </c>
      <c r="AS1973" s="1"/>
      <c r="AT1973" s="2">
        <v>44269.931099537</v>
      </c>
    </row>
    <row r="1974" ht="13.5" customHeight="1">
      <c r="A1974" s="1"/>
      <c r="B1974" s="1" t="s">
        <v>46</v>
      </c>
      <c r="C1974" s="1" t="s">
        <v>47</v>
      </c>
      <c r="D1974" s="1"/>
      <c r="E1974" s="1" t="s">
        <v>8133</v>
      </c>
      <c r="F1974" s="1"/>
      <c r="G1974" s="1" t="s">
        <v>49</v>
      </c>
      <c r="H1974" s="1" t="s">
        <v>50</v>
      </c>
      <c r="I1974" s="1">
        <v>12000.0</v>
      </c>
      <c r="J1974" s="1"/>
      <c r="K1974" s="1" t="s">
        <v>140</v>
      </c>
      <c r="L1974" s="1"/>
      <c r="M1974" s="1" t="s">
        <v>8134</v>
      </c>
      <c r="N1974" s="1" t="s">
        <v>123</v>
      </c>
      <c r="O1974" s="1" t="s">
        <v>73</v>
      </c>
      <c r="P1974" s="2">
        <v>43755.0660416667</v>
      </c>
      <c r="Q1974" s="1" t="s">
        <v>74</v>
      </c>
      <c r="R1974" s="3">
        <v>39563.0</v>
      </c>
      <c r="S1974" s="1"/>
      <c r="T1974" s="1">
        <v>5100300.0</v>
      </c>
      <c r="U1974" s="1" t="s">
        <v>8135</v>
      </c>
      <c r="V1974" s="1" t="s">
        <v>164</v>
      </c>
      <c r="W1974" s="1" t="s">
        <v>127</v>
      </c>
      <c r="X1974" s="1"/>
      <c r="Y1974" s="1"/>
      <c r="Z1974" s="1" t="s">
        <v>76</v>
      </c>
      <c r="AA1974" s="1" t="s">
        <v>8136</v>
      </c>
      <c r="AB1974" s="1" t="str">
        <f>"***620188**"</f>
        <v>***620188**</v>
      </c>
      <c r="AC1974" s="1"/>
      <c r="AD1974" s="1" t="s">
        <v>149</v>
      </c>
      <c r="AE1974" s="1"/>
      <c r="AF1974" s="1"/>
      <c r="AG1974" s="1">
        <v>-16.808611</v>
      </c>
      <c r="AH1974" s="1" t="s">
        <v>8137</v>
      </c>
      <c r="AI1974" s="1"/>
      <c r="AJ1974" s="1" t="s">
        <v>167</v>
      </c>
      <c r="AK1974" s="1"/>
      <c r="AL1974" s="1"/>
      <c r="AM1974" s="1" t="s">
        <v>65</v>
      </c>
      <c r="AN1974" s="1" t="s">
        <v>132</v>
      </c>
      <c r="AO1974" s="1"/>
      <c r="AP1974" s="2">
        <v>43978.778275463</v>
      </c>
      <c r="AQ1974" s="1"/>
      <c r="AR1974" s="1" t="s">
        <v>229</v>
      </c>
      <c r="AS1974" s="1"/>
      <c r="AT1974" s="2">
        <v>44269.931099537</v>
      </c>
    </row>
    <row r="1975" ht="13.5" customHeight="1">
      <c r="A1975" s="1">
        <v>2039282.0</v>
      </c>
      <c r="B1975" s="1" t="s">
        <v>67</v>
      </c>
      <c r="C1975" s="1" t="s">
        <v>68</v>
      </c>
      <c r="D1975" s="1" t="s">
        <v>46</v>
      </c>
      <c r="E1975" s="1" t="s">
        <v>8138</v>
      </c>
      <c r="F1975" s="1"/>
      <c r="G1975" s="1" t="s">
        <v>70</v>
      </c>
      <c r="H1975" s="1" t="s">
        <v>93</v>
      </c>
      <c r="I1975" s="1">
        <v>8000.0</v>
      </c>
      <c r="J1975" s="1"/>
      <c r="K1975" s="1"/>
      <c r="L1975" s="1" t="s">
        <v>291</v>
      </c>
      <c r="M1975" s="1" t="s">
        <v>8139</v>
      </c>
      <c r="N1975" s="1" t="s">
        <v>95</v>
      </c>
      <c r="O1975" s="1" t="s">
        <v>96</v>
      </c>
      <c r="P1975" s="2">
        <v>43755.0</v>
      </c>
      <c r="Q1975" s="1" t="s">
        <v>74</v>
      </c>
      <c r="R1975" s="3">
        <v>43783.0</v>
      </c>
      <c r="S1975" s="1"/>
      <c r="T1975" s="1">
        <v>3302106.0</v>
      </c>
      <c r="U1975" s="1" t="s">
        <v>2074</v>
      </c>
      <c r="V1975" s="1" t="s">
        <v>287</v>
      </c>
      <c r="W1975" s="1" t="s">
        <v>59</v>
      </c>
      <c r="X1975" s="1"/>
      <c r="Y1975" s="1"/>
      <c r="Z1975" s="1" t="s">
        <v>98</v>
      </c>
      <c r="AA1975" s="1" t="s">
        <v>8140</v>
      </c>
      <c r="AB1975" s="1" t="str">
        <f>"***616677**"</f>
        <v>***616677**</v>
      </c>
      <c r="AC1975" s="1"/>
      <c r="AD1975" s="1"/>
      <c r="AE1975" s="1"/>
      <c r="AF1975" s="1">
        <v>-42.074165</v>
      </c>
      <c r="AG1975" s="1">
        <v>-21.669167</v>
      </c>
      <c r="AH1975" s="1" t="s">
        <v>8141</v>
      </c>
      <c r="AI1975" s="1"/>
      <c r="AJ1975" s="1" t="s">
        <v>291</v>
      </c>
      <c r="AK1975" s="1"/>
      <c r="AL1975" s="1" t="s">
        <v>79</v>
      </c>
      <c r="AM1975" s="1" t="s">
        <v>65</v>
      </c>
      <c r="AN1975" s="1" t="s">
        <v>4477</v>
      </c>
      <c r="AO1975" s="2">
        <v>44060.0</v>
      </c>
      <c r="AP1975" s="2">
        <v>44060.4254976852</v>
      </c>
      <c r="AQ1975" s="1" t="s">
        <v>80</v>
      </c>
      <c r="AR1975" s="1" t="s">
        <v>4091</v>
      </c>
      <c r="AS1975" s="1"/>
      <c r="AT1975" s="2">
        <v>44269.931099537</v>
      </c>
    </row>
    <row r="1976" ht="13.5" customHeight="1">
      <c r="A1976" s="1"/>
      <c r="B1976" s="1" t="s">
        <v>46</v>
      </c>
      <c r="C1976" s="1" t="s">
        <v>47</v>
      </c>
      <c r="D1976" s="1"/>
      <c r="E1976" s="1" t="s">
        <v>8142</v>
      </c>
      <c r="F1976" s="1"/>
      <c r="G1976" s="1"/>
      <c r="H1976" s="1" t="s">
        <v>93</v>
      </c>
      <c r="I1976" s="1">
        <v>5550000.0</v>
      </c>
      <c r="J1976" s="1"/>
      <c r="K1976" s="1"/>
      <c r="L1976" s="1"/>
      <c r="M1976" s="1" t="s">
        <v>8143</v>
      </c>
      <c r="N1976" s="1" t="s">
        <v>142</v>
      </c>
      <c r="O1976" s="1" t="s">
        <v>143</v>
      </c>
      <c r="P1976" s="2">
        <v>43754.9859143519</v>
      </c>
      <c r="Q1976" s="1" t="s">
        <v>74</v>
      </c>
      <c r="R1976" s="1"/>
      <c r="S1976" s="1"/>
      <c r="T1976" s="1">
        <v>1501725.0</v>
      </c>
      <c r="U1976" s="1" t="s">
        <v>8144</v>
      </c>
      <c r="V1976" s="1" t="s">
        <v>193</v>
      </c>
      <c r="W1976" s="1" t="s">
        <v>177</v>
      </c>
      <c r="X1976" s="1"/>
      <c r="Y1976" s="1"/>
      <c r="Z1976" s="1" t="s">
        <v>147</v>
      </c>
      <c r="AA1976" s="1" t="s">
        <v>8145</v>
      </c>
      <c r="AB1976" s="1" t="str">
        <f>"***743302**"</f>
        <v>***743302**</v>
      </c>
      <c r="AC1976" s="1"/>
      <c r="AD1976" s="1" t="s">
        <v>2103</v>
      </c>
      <c r="AE1976" s="1"/>
      <c r="AF1976" s="1">
        <v>-53.647778</v>
      </c>
      <c r="AG1976" s="1">
        <v>-4.164722</v>
      </c>
      <c r="AH1976" s="1" t="s">
        <v>8146</v>
      </c>
      <c r="AI1976" s="1"/>
      <c r="AJ1976" s="1" t="s">
        <v>172</v>
      </c>
      <c r="AK1976" s="1"/>
      <c r="AL1976" s="1"/>
      <c r="AM1976" s="1" t="s">
        <v>65</v>
      </c>
      <c r="AN1976" s="1" t="s">
        <v>7331</v>
      </c>
      <c r="AO1976" s="1"/>
      <c r="AP1976" s="2">
        <v>43762.5241898148</v>
      </c>
      <c r="AQ1976" s="1"/>
      <c r="AR1976" s="1" t="s">
        <v>1794</v>
      </c>
      <c r="AS1976" s="1"/>
      <c r="AT1976" s="2">
        <v>44269.931099537</v>
      </c>
    </row>
    <row r="1977" ht="13.5" customHeight="1">
      <c r="A1977" s="1"/>
      <c r="B1977" s="1" t="s">
        <v>46</v>
      </c>
      <c r="C1977" s="1" t="s">
        <v>657</v>
      </c>
      <c r="D1977" s="1" t="s">
        <v>67</v>
      </c>
      <c r="E1977" s="1" t="s">
        <v>8147</v>
      </c>
      <c r="F1977" s="1"/>
      <c r="G1977" s="1" t="s">
        <v>49</v>
      </c>
      <c r="H1977" s="1" t="s">
        <v>50</v>
      </c>
      <c r="I1977" s="1"/>
      <c r="J1977" s="1"/>
      <c r="K1977" s="1"/>
      <c r="L1977" s="1"/>
      <c r="M1977" s="1" t="s">
        <v>8148</v>
      </c>
      <c r="N1977" s="1" t="s">
        <v>977</v>
      </c>
      <c r="O1977" s="1" t="s">
        <v>978</v>
      </c>
      <c r="P1977" s="2">
        <v>43754.9181828704</v>
      </c>
      <c r="Q1977" s="1"/>
      <c r="R1977" s="1"/>
      <c r="S1977" s="1"/>
      <c r="T1977" s="1">
        <v>5107602.0</v>
      </c>
      <c r="U1977" s="1" t="s">
        <v>8072</v>
      </c>
      <c r="V1977" s="1" t="s">
        <v>164</v>
      </c>
      <c r="W1977" s="1" t="s">
        <v>177</v>
      </c>
      <c r="X1977" s="1"/>
      <c r="Y1977" s="1"/>
      <c r="Z1977" s="1" t="s">
        <v>980</v>
      </c>
      <c r="AA1977" s="1" t="s">
        <v>8149</v>
      </c>
      <c r="AB1977" s="1" t="str">
        <f>"05476044000106"</f>
        <v>05476044000106</v>
      </c>
      <c r="AC1977" s="1"/>
      <c r="AD1977" s="1" t="s">
        <v>62</v>
      </c>
      <c r="AE1977" s="1"/>
      <c r="AF1977" s="1">
        <v>-54.706669</v>
      </c>
      <c r="AG1977" s="1">
        <v>-16.416945</v>
      </c>
      <c r="AH1977" s="1" t="s">
        <v>8150</v>
      </c>
      <c r="AI1977" s="1"/>
      <c r="AJ1977" s="1" t="s">
        <v>167</v>
      </c>
      <c r="AK1977" s="1"/>
      <c r="AL1977" s="1"/>
      <c r="AM1977" s="1" t="s">
        <v>65</v>
      </c>
      <c r="AN1977" s="1" t="s">
        <v>6985</v>
      </c>
      <c r="AO1977" s="1"/>
      <c r="AP1977" s="2">
        <v>44050.7698958333</v>
      </c>
      <c r="AQ1977" s="1"/>
      <c r="AR1977" s="1" t="s">
        <v>6029</v>
      </c>
      <c r="AS1977" s="1"/>
      <c r="AT1977" s="2">
        <v>44269.931099537</v>
      </c>
    </row>
    <row r="1978" ht="13.5" customHeight="1">
      <c r="A1978" s="1"/>
      <c r="B1978" s="1" t="s">
        <v>46</v>
      </c>
      <c r="C1978" s="1" t="s">
        <v>47</v>
      </c>
      <c r="D1978" s="1"/>
      <c r="E1978" s="1" t="s">
        <v>8151</v>
      </c>
      <c r="F1978" s="1"/>
      <c r="G1978" s="1"/>
      <c r="H1978" s="1" t="s">
        <v>50</v>
      </c>
      <c r="I1978" s="1">
        <v>1500.0</v>
      </c>
      <c r="J1978" s="1"/>
      <c r="K1978" s="1" t="s">
        <v>51</v>
      </c>
      <c r="L1978" s="1"/>
      <c r="M1978" s="1" t="s">
        <v>8152</v>
      </c>
      <c r="N1978" s="1" t="s">
        <v>283</v>
      </c>
      <c r="O1978" s="1" t="s">
        <v>1133</v>
      </c>
      <c r="P1978" s="2">
        <v>43754.885625</v>
      </c>
      <c r="Q1978" s="1" t="s">
        <v>55</v>
      </c>
      <c r="R1978" s="1"/>
      <c r="S1978" s="1"/>
      <c r="T1978" s="1">
        <v>5107602.0</v>
      </c>
      <c r="U1978" s="1" t="s">
        <v>8072</v>
      </c>
      <c r="V1978" s="1" t="s">
        <v>164</v>
      </c>
      <c r="W1978" s="1" t="s">
        <v>177</v>
      </c>
      <c r="X1978" s="1"/>
      <c r="Y1978" s="1"/>
      <c r="Z1978" s="1" t="s">
        <v>128</v>
      </c>
      <c r="AA1978" s="1" t="s">
        <v>8153</v>
      </c>
      <c r="AB1978" s="1" t="str">
        <f>"18294135000172"</f>
        <v>18294135000172</v>
      </c>
      <c r="AC1978" s="1"/>
      <c r="AD1978" s="1" t="s">
        <v>62</v>
      </c>
      <c r="AE1978" s="1"/>
      <c r="AF1978" s="1">
        <v>-54.70639</v>
      </c>
      <c r="AG1978" s="1">
        <v>-16.416945</v>
      </c>
      <c r="AH1978" s="1" t="s">
        <v>8154</v>
      </c>
      <c r="AI1978" s="1"/>
      <c r="AJ1978" s="1" t="s">
        <v>167</v>
      </c>
      <c r="AK1978" s="1"/>
      <c r="AL1978" s="1"/>
      <c r="AM1978" s="1" t="s">
        <v>65</v>
      </c>
      <c r="AN1978" s="1" t="s">
        <v>6985</v>
      </c>
      <c r="AO1978" s="1"/>
      <c r="AP1978" s="2">
        <v>43754.9234027778</v>
      </c>
      <c r="AQ1978" s="1"/>
      <c r="AR1978" s="1" t="s">
        <v>721</v>
      </c>
      <c r="AS1978" s="1"/>
      <c r="AT1978" s="2">
        <v>44269.931099537</v>
      </c>
    </row>
    <row r="1979" ht="13.5" customHeight="1">
      <c r="A1979" s="1"/>
      <c r="B1979" s="1" t="s">
        <v>46</v>
      </c>
      <c r="C1979" s="1" t="s">
        <v>47</v>
      </c>
      <c r="D1979" s="1"/>
      <c r="E1979" s="1" t="s">
        <v>8155</v>
      </c>
      <c r="F1979" s="1"/>
      <c r="G1979" s="1" t="s">
        <v>49</v>
      </c>
      <c r="H1979" s="1" t="s">
        <v>93</v>
      </c>
      <c r="I1979" s="1">
        <v>739000.0</v>
      </c>
      <c r="J1979" s="1"/>
      <c r="K1979" s="1"/>
      <c r="L1979" s="1"/>
      <c r="M1979" s="1" t="s">
        <v>8156</v>
      </c>
      <c r="N1979" s="1" t="s">
        <v>977</v>
      </c>
      <c r="O1979" s="1" t="s">
        <v>978</v>
      </c>
      <c r="P1979" s="2">
        <v>43754.8696643519</v>
      </c>
      <c r="Q1979" s="1" t="s">
        <v>74</v>
      </c>
      <c r="R1979" s="1"/>
      <c r="S1979" s="1"/>
      <c r="T1979" s="1">
        <v>5103254.0</v>
      </c>
      <c r="U1979" s="1" t="s">
        <v>5275</v>
      </c>
      <c r="V1979" s="1" t="s">
        <v>164</v>
      </c>
      <c r="W1979" s="1" t="s">
        <v>177</v>
      </c>
      <c r="X1979" s="1"/>
      <c r="Y1979" s="1"/>
      <c r="Z1979" s="1" t="s">
        <v>980</v>
      </c>
      <c r="AA1979" s="1" t="s">
        <v>8157</v>
      </c>
      <c r="AB1979" s="1" t="str">
        <f>"***664142**"</f>
        <v>***664142**</v>
      </c>
      <c r="AC1979" s="1"/>
      <c r="AD1979" s="1" t="s">
        <v>3310</v>
      </c>
      <c r="AE1979" s="1"/>
      <c r="AF1979" s="1">
        <v>-60.796944</v>
      </c>
      <c r="AG1979" s="1">
        <v>-9.322778</v>
      </c>
      <c r="AH1979" s="1" t="s">
        <v>8158</v>
      </c>
      <c r="AI1979" s="1"/>
      <c r="AJ1979" s="1" t="s">
        <v>167</v>
      </c>
      <c r="AK1979" s="1"/>
      <c r="AL1979" s="1"/>
      <c r="AM1979" s="1" t="s">
        <v>65</v>
      </c>
      <c r="AN1979" s="1" t="s">
        <v>132</v>
      </c>
      <c r="AO1979" s="1"/>
      <c r="AP1979" s="2">
        <v>43927.6962847222</v>
      </c>
      <c r="AQ1979" s="1"/>
      <c r="AR1979" s="1" t="s">
        <v>8159</v>
      </c>
      <c r="AS1979" s="1"/>
      <c r="AT1979" s="2">
        <v>44269.931099537</v>
      </c>
    </row>
    <row r="1980" ht="13.5" customHeight="1">
      <c r="A1980" s="1"/>
      <c r="B1980" s="1" t="s">
        <v>46</v>
      </c>
      <c r="C1980" s="1" t="s">
        <v>47</v>
      </c>
      <c r="D1980" s="1"/>
      <c r="E1980" s="1" t="s">
        <v>8160</v>
      </c>
      <c r="F1980" s="1"/>
      <c r="G1980" s="1"/>
      <c r="H1980" s="1" t="s">
        <v>93</v>
      </c>
      <c r="I1980" s="1">
        <v>121500.0</v>
      </c>
      <c r="J1980" s="1"/>
      <c r="K1980" s="1" t="s">
        <v>140</v>
      </c>
      <c r="L1980" s="1"/>
      <c r="M1980" s="1" t="s">
        <v>8161</v>
      </c>
      <c r="N1980" s="1" t="s">
        <v>123</v>
      </c>
      <c r="O1980" s="1" t="s">
        <v>73</v>
      </c>
      <c r="P1980" s="2">
        <v>43754.8696296296</v>
      </c>
      <c r="Q1980" s="1" t="s">
        <v>55</v>
      </c>
      <c r="R1980" s="1"/>
      <c r="S1980" s="1"/>
      <c r="T1980" s="1">
        <v>1400472.0</v>
      </c>
      <c r="U1980" s="1" t="s">
        <v>574</v>
      </c>
      <c r="V1980" s="1" t="s">
        <v>186</v>
      </c>
      <c r="W1980" s="1" t="s">
        <v>177</v>
      </c>
      <c r="X1980" s="1"/>
      <c r="Y1980" s="1"/>
      <c r="Z1980" s="1" t="s">
        <v>76</v>
      </c>
      <c r="AA1980" s="1" t="s">
        <v>8162</v>
      </c>
      <c r="AB1980" s="1" t="str">
        <f>"21604695000190"</f>
        <v>21604695000190</v>
      </c>
      <c r="AC1980" s="1"/>
      <c r="AD1980" s="1" t="s">
        <v>149</v>
      </c>
      <c r="AE1980" s="1"/>
      <c r="AF1980" s="1"/>
      <c r="AG1980" s="1"/>
      <c r="AH1980" s="1" t="s">
        <v>8163</v>
      </c>
      <c r="AI1980" s="1"/>
      <c r="AJ1980" s="1" t="s">
        <v>415</v>
      </c>
      <c r="AK1980" s="1"/>
      <c r="AL1980" s="1"/>
      <c r="AM1980" s="1" t="s">
        <v>65</v>
      </c>
      <c r="AN1980" s="1" t="s">
        <v>7975</v>
      </c>
      <c r="AO1980" s="1"/>
      <c r="AP1980" s="2">
        <v>43755.784537037</v>
      </c>
      <c r="AQ1980" s="1"/>
      <c r="AR1980" s="1" t="s">
        <v>153</v>
      </c>
      <c r="AS1980" s="1"/>
      <c r="AT1980" s="2">
        <v>44269.931099537</v>
      </c>
    </row>
    <row r="1981" ht="13.5" customHeight="1">
      <c r="A1981" s="1"/>
      <c r="B1981" s="1" t="s">
        <v>46</v>
      </c>
      <c r="C1981" s="1" t="s">
        <v>47</v>
      </c>
      <c r="D1981" s="1"/>
      <c r="E1981" s="1" t="s">
        <v>8164</v>
      </c>
      <c r="F1981" s="1"/>
      <c r="G1981" s="1" t="s">
        <v>49</v>
      </c>
      <c r="H1981" s="1" t="s">
        <v>50</v>
      </c>
      <c r="I1981" s="1">
        <v>3500.0</v>
      </c>
      <c r="J1981" s="1"/>
      <c r="K1981" s="1" t="s">
        <v>51</v>
      </c>
      <c r="L1981" s="1"/>
      <c r="M1981" s="1" t="s">
        <v>8165</v>
      </c>
      <c r="N1981" s="1" t="s">
        <v>977</v>
      </c>
      <c r="O1981" s="1" t="s">
        <v>978</v>
      </c>
      <c r="P1981" s="2">
        <v>43754.8348032407</v>
      </c>
      <c r="Q1981" s="1" t="s">
        <v>55</v>
      </c>
      <c r="R1981" s="1"/>
      <c r="S1981" s="1"/>
      <c r="T1981" s="1">
        <v>5107602.0</v>
      </c>
      <c r="U1981" s="1" t="s">
        <v>8072</v>
      </c>
      <c r="V1981" s="1" t="s">
        <v>164</v>
      </c>
      <c r="W1981" s="1" t="s">
        <v>177</v>
      </c>
      <c r="X1981" s="1"/>
      <c r="Y1981" s="1"/>
      <c r="Z1981" s="1" t="s">
        <v>980</v>
      </c>
      <c r="AA1981" s="1" t="s">
        <v>8166</v>
      </c>
      <c r="AB1981" s="1" t="str">
        <f>"25402516000193"</f>
        <v>25402516000193</v>
      </c>
      <c r="AC1981" s="1"/>
      <c r="AD1981" s="1"/>
      <c r="AE1981" s="1"/>
      <c r="AF1981" s="1">
        <v>-57.706944</v>
      </c>
      <c r="AG1981" s="1">
        <v>-16.416945</v>
      </c>
      <c r="AH1981" s="1" t="s">
        <v>8167</v>
      </c>
      <c r="AI1981" s="1"/>
      <c r="AJ1981" s="1" t="s">
        <v>167</v>
      </c>
      <c r="AK1981" s="1"/>
      <c r="AL1981" s="1"/>
      <c r="AM1981" s="1" t="s">
        <v>65</v>
      </c>
      <c r="AN1981" s="1" t="s">
        <v>6985</v>
      </c>
      <c r="AO1981" s="1"/>
      <c r="AP1981" s="2">
        <v>44027.8935763889</v>
      </c>
      <c r="AQ1981" s="1"/>
      <c r="AR1981" s="1" t="s">
        <v>3544</v>
      </c>
      <c r="AS1981" s="1"/>
      <c r="AT1981" s="2">
        <v>44269.931099537</v>
      </c>
    </row>
    <row r="1982" ht="13.5" customHeight="1">
      <c r="A1982" s="1"/>
      <c r="B1982" s="1" t="s">
        <v>46</v>
      </c>
      <c r="C1982" s="1" t="s">
        <v>47</v>
      </c>
      <c r="D1982" s="1"/>
      <c r="E1982" s="1" t="s">
        <v>8168</v>
      </c>
      <c r="F1982" s="1"/>
      <c r="G1982" s="1" t="s">
        <v>49</v>
      </c>
      <c r="H1982" s="1" t="s">
        <v>50</v>
      </c>
      <c r="I1982" s="1">
        <v>4100.0</v>
      </c>
      <c r="J1982" s="1"/>
      <c r="K1982" s="1" t="s">
        <v>140</v>
      </c>
      <c r="L1982" s="1"/>
      <c r="M1982" s="1" t="s">
        <v>8169</v>
      </c>
      <c r="N1982" s="1" t="s">
        <v>977</v>
      </c>
      <c r="O1982" s="1" t="s">
        <v>978</v>
      </c>
      <c r="P1982" s="2">
        <v>43754.815775463</v>
      </c>
      <c r="Q1982" s="1"/>
      <c r="R1982" s="1"/>
      <c r="S1982" s="1"/>
      <c r="T1982" s="1">
        <v>5107602.0</v>
      </c>
      <c r="U1982" s="1" t="s">
        <v>8072</v>
      </c>
      <c r="V1982" s="1" t="s">
        <v>164</v>
      </c>
      <c r="W1982" s="1" t="s">
        <v>177</v>
      </c>
      <c r="X1982" s="1"/>
      <c r="Y1982" s="1"/>
      <c r="Z1982" s="1" t="s">
        <v>980</v>
      </c>
      <c r="AA1982" s="1" t="s">
        <v>8170</v>
      </c>
      <c r="AB1982" s="1" t="str">
        <f>"74175159000183"</f>
        <v>74175159000183</v>
      </c>
      <c r="AC1982" s="1"/>
      <c r="AD1982" s="1" t="s">
        <v>62</v>
      </c>
      <c r="AE1982" s="1"/>
      <c r="AF1982" s="1">
        <v>-54.706669</v>
      </c>
      <c r="AG1982" s="1">
        <v>-16.416945</v>
      </c>
      <c r="AH1982" s="1" t="s">
        <v>8171</v>
      </c>
      <c r="AI1982" s="1"/>
      <c r="AJ1982" s="1" t="s">
        <v>167</v>
      </c>
      <c r="AK1982" s="1"/>
      <c r="AL1982" s="1"/>
      <c r="AM1982" s="1" t="s">
        <v>65</v>
      </c>
      <c r="AN1982" s="1" t="s">
        <v>6985</v>
      </c>
      <c r="AO1982" s="1"/>
      <c r="AP1982" s="2">
        <v>44050.7702199074</v>
      </c>
      <c r="AQ1982" s="1"/>
      <c r="AR1982" s="1" t="s">
        <v>6029</v>
      </c>
      <c r="AS1982" s="1"/>
      <c r="AT1982" s="2">
        <v>44269.931099537</v>
      </c>
    </row>
    <row r="1983" ht="13.5" customHeight="1">
      <c r="A1983" s="1"/>
      <c r="B1983" s="1" t="s">
        <v>46</v>
      </c>
      <c r="C1983" s="1" t="s">
        <v>47</v>
      </c>
      <c r="D1983" s="1"/>
      <c r="E1983" s="1" t="s">
        <v>8172</v>
      </c>
      <c r="F1983" s="1"/>
      <c r="G1983" s="1"/>
      <c r="H1983" s="1" t="s">
        <v>93</v>
      </c>
      <c r="I1983" s="1">
        <v>700000.0</v>
      </c>
      <c r="J1983" s="1"/>
      <c r="K1983" s="1"/>
      <c r="L1983" s="1"/>
      <c r="M1983" s="1" t="s">
        <v>8173</v>
      </c>
      <c r="N1983" s="1" t="s">
        <v>142</v>
      </c>
      <c r="O1983" s="1" t="s">
        <v>143</v>
      </c>
      <c r="P1983" s="2">
        <v>43754.8020023148</v>
      </c>
      <c r="Q1983" s="1" t="s">
        <v>74</v>
      </c>
      <c r="R1983" s="1"/>
      <c r="S1983" s="1"/>
      <c r="T1983" s="1">
        <v>4117602.0</v>
      </c>
      <c r="U1983" s="1" t="s">
        <v>2155</v>
      </c>
      <c r="V1983" s="1" t="s">
        <v>176</v>
      </c>
      <c r="W1983" s="1" t="s">
        <v>59</v>
      </c>
      <c r="X1983" s="1"/>
      <c r="Y1983" s="1"/>
      <c r="Z1983" s="1" t="s">
        <v>147</v>
      </c>
      <c r="AA1983" s="1" t="s">
        <v>8174</v>
      </c>
      <c r="AB1983" s="1" t="str">
        <f>"***225629**"</f>
        <v>***225629**</v>
      </c>
      <c r="AC1983" s="1"/>
      <c r="AD1983" s="1" t="s">
        <v>116</v>
      </c>
      <c r="AE1983" s="1"/>
      <c r="AF1983" s="1">
        <v>-51.664169</v>
      </c>
      <c r="AG1983" s="1">
        <v>-26.530832</v>
      </c>
      <c r="AH1983" s="1" t="s">
        <v>8175</v>
      </c>
      <c r="AI1983" s="1"/>
      <c r="AJ1983" s="1" t="s">
        <v>358</v>
      </c>
      <c r="AK1983" s="1"/>
      <c r="AL1983" s="1"/>
      <c r="AM1983" s="1" t="s">
        <v>65</v>
      </c>
      <c r="AN1983" s="1" t="s">
        <v>8176</v>
      </c>
      <c r="AO1983" s="1"/>
      <c r="AP1983" s="2">
        <v>43768.7170717593</v>
      </c>
      <c r="AQ1983" s="1"/>
      <c r="AR1983" s="1" t="s">
        <v>8177</v>
      </c>
      <c r="AS1983" s="1"/>
      <c r="AT1983" s="2">
        <v>44269.931099537</v>
      </c>
    </row>
    <row r="1984" ht="13.5" customHeight="1">
      <c r="A1984" s="1">
        <v>2034708.0</v>
      </c>
      <c r="B1984" s="1" t="s">
        <v>67</v>
      </c>
      <c r="C1984" s="1" t="s">
        <v>68</v>
      </c>
      <c r="D1984" s="1" t="s">
        <v>46</v>
      </c>
      <c r="E1984" s="1" t="s">
        <v>8178</v>
      </c>
      <c r="F1984" s="1"/>
      <c r="G1984" s="1" t="s">
        <v>70</v>
      </c>
      <c r="H1984" s="1" t="s">
        <v>50</v>
      </c>
      <c r="I1984" s="1">
        <v>100500.0</v>
      </c>
      <c r="J1984" s="1"/>
      <c r="K1984" s="1"/>
      <c r="L1984" s="1" t="s">
        <v>64</v>
      </c>
      <c r="M1984" s="1" t="s">
        <v>8179</v>
      </c>
      <c r="N1984" s="1" t="s">
        <v>283</v>
      </c>
      <c r="O1984" s="1" t="s">
        <v>978</v>
      </c>
      <c r="P1984" s="2">
        <v>43754.7916666667</v>
      </c>
      <c r="Q1984" s="1" t="s">
        <v>74</v>
      </c>
      <c r="R1984" s="3">
        <v>43753.0</v>
      </c>
      <c r="S1984" s="1"/>
      <c r="T1984" s="1">
        <v>3549805.0</v>
      </c>
      <c r="U1984" s="1" t="s">
        <v>1927</v>
      </c>
      <c r="V1984" s="1" t="s">
        <v>58</v>
      </c>
      <c r="W1984" s="1" t="s">
        <v>127</v>
      </c>
      <c r="X1984" s="1"/>
      <c r="Y1984" s="1" t="str">
        <f>"02027001197202083"</f>
        <v>02027001197202083</v>
      </c>
      <c r="Z1984" s="1" t="s">
        <v>980</v>
      </c>
      <c r="AA1984" s="1" t="s">
        <v>8180</v>
      </c>
      <c r="AB1984" s="1" t="str">
        <f>"***091528**"</f>
        <v>***091528**</v>
      </c>
      <c r="AC1984" s="1"/>
      <c r="AD1984" s="1"/>
      <c r="AE1984" s="1"/>
      <c r="AF1984" s="1">
        <v>-49.39278</v>
      </c>
      <c r="AG1984" s="1">
        <v>-20.81778</v>
      </c>
      <c r="AH1984" s="1" t="s">
        <v>8181</v>
      </c>
      <c r="AI1984" s="1"/>
      <c r="AJ1984" s="1" t="s">
        <v>64</v>
      </c>
      <c r="AK1984" s="1"/>
      <c r="AL1984" s="1" t="s">
        <v>79</v>
      </c>
      <c r="AM1984" s="1" t="s">
        <v>65</v>
      </c>
      <c r="AN1984" s="1"/>
      <c r="AO1984" s="2">
        <v>43889.0</v>
      </c>
      <c r="AP1984" s="2">
        <v>43889.5917824074</v>
      </c>
      <c r="AQ1984" s="1" t="s">
        <v>80</v>
      </c>
      <c r="AR1984" s="1" t="s">
        <v>462</v>
      </c>
      <c r="AS1984" s="1"/>
      <c r="AT1984" s="2">
        <v>44269.931099537</v>
      </c>
    </row>
    <row r="1985" ht="13.5" customHeight="1">
      <c r="A1985" s="1">
        <v>2039321.0</v>
      </c>
      <c r="B1985" s="1" t="s">
        <v>67</v>
      </c>
      <c r="C1985" s="1" t="s">
        <v>68</v>
      </c>
      <c r="D1985" s="1" t="s">
        <v>46</v>
      </c>
      <c r="E1985" s="1" t="s">
        <v>8182</v>
      </c>
      <c r="F1985" s="1"/>
      <c r="G1985" s="1" t="s">
        <v>70</v>
      </c>
      <c r="H1985" s="1" t="s">
        <v>50</v>
      </c>
      <c r="I1985" s="1">
        <v>2600.0</v>
      </c>
      <c r="J1985" s="1"/>
      <c r="K1985" s="1"/>
      <c r="L1985" s="1" t="s">
        <v>167</v>
      </c>
      <c r="M1985" s="1" t="s">
        <v>8183</v>
      </c>
      <c r="N1985" s="1" t="s">
        <v>283</v>
      </c>
      <c r="O1985" s="1" t="s">
        <v>978</v>
      </c>
      <c r="P1985" s="2">
        <v>43754.7916666667</v>
      </c>
      <c r="Q1985" s="1" t="s">
        <v>55</v>
      </c>
      <c r="R1985" s="1"/>
      <c r="S1985" s="1"/>
      <c r="T1985" s="1">
        <v>5107602.0</v>
      </c>
      <c r="U1985" s="1" t="s">
        <v>8072</v>
      </c>
      <c r="V1985" s="1" t="s">
        <v>164</v>
      </c>
      <c r="W1985" s="1" t="s">
        <v>177</v>
      </c>
      <c r="X1985" s="1"/>
      <c r="Y1985" s="1" t="str">
        <f>"02013002178202023"</f>
        <v>02013002178202023</v>
      </c>
      <c r="Z1985" s="1" t="s">
        <v>980</v>
      </c>
      <c r="AA1985" s="1" t="s">
        <v>8149</v>
      </c>
      <c r="AB1985" s="1" t="str">
        <f>"05476044000106"</f>
        <v>05476044000106</v>
      </c>
      <c r="AC1985" s="1"/>
      <c r="AD1985" s="1"/>
      <c r="AE1985" s="1"/>
      <c r="AF1985" s="1">
        <v>-54.706669</v>
      </c>
      <c r="AG1985" s="1">
        <v>-16.416945</v>
      </c>
      <c r="AH1985" s="1" t="s">
        <v>8184</v>
      </c>
      <c r="AI1985" s="1"/>
      <c r="AJ1985" s="1" t="s">
        <v>167</v>
      </c>
      <c r="AK1985" s="1"/>
      <c r="AL1985" s="1" t="s">
        <v>79</v>
      </c>
      <c r="AM1985" s="1" t="s">
        <v>65</v>
      </c>
      <c r="AN1985" s="1" t="s">
        <v>6985</v>
      </c>
      <c r="AO1985" s="2">
        <v>44060.0</v>
      </c>
      <c r="AP1985" s="2">
        <v>44060.659525463</v>
      </c>
      <c r="AQ1985" s="1" t="s">
        <v>80</v>
      </c>
      <c r="AR1985" s="1" t="s">
        <v>5893</v>
      </c>
      <c r="AS1985" s="1"/>
      <c r="AT1985" s="2">
        <v>44269.931099537</v>
      </c>
    </row>
    <row r="1986" ht="13.5" customHeight="1">
      <c r="A1986" s="1">
        <v>2044216.0</v>
      </c>
      <c r="B1986" s="1" t="s">
        <v>67</v>
      </c>
      <c r="C1986" s="1" t="s">
        <v>68</v>
      </c>
      <c r="D1986" s="1" t="s">
        <v>46</v>
      </c>
      <c r="E1986" s="1" t="s">
        <v>8185</v>
      </c>
      <c r="F1986" s="1"/>
      <c r="G1986" s="1" t="s">
        <v>70</v>
      </c>
      <c r="H1986" s="1" t="s">
        <v>93</v>
      </c>
      <c r="I1986" s="1">
        <v>546000.0</v>
      </c>
      <c r="J1986" s="1"/>
      <c r="K1986" s="1"/>
      <c r="L1986" s="1" t="s">
        <v>358</v>
      </c>
      <c r="M1986" s="1" t="s">
        <v>8186</v>
      </c>
      <c r="N1986" s="1" t="s">
        <v>142</v>
      </c>
      <c r="O1986" s="1" t="s">
        <v>143</v>
      </c>
      <c r="P1986" s="2">
        <v>43754.6951388889</v>
      </c>
      <c r="Q1986" s="1" t="s">
        <v>74</v>
      </c>
      <c r="R1986" s="1"/>
      <c r="S1986" s="1"/>
      <c r="T1986" s="1">
        <v>4117602.0</v>
      </c>
      <c r="U1986" s="1" t="s">
        <v>2155</v>
      </c>
      <c r="V1986" s="1" t="s">
        <v>176</v>
      </c>
      <c r="W1986" s="1" t="s">
        <v>59</v>
      </c>
      <c r="X1986" s="1"/>
      <c r="Y1986" s="1" t="str">
        <f>"02017004571201988"</f>
        <v>02017004571201988</v>
      </c>
      <c r="Z1986" s="1" t="s">
        <v>147</v>
      </c>
      <c r="AA1986" s="1" t="s">
        <v>8187</v>
      </c>
      <c r="AB1986" s="1" t="str">
        <f>"***394009**"</f>
        <v>***394009**</v>
      </c>
      <c r="AC1986" s="1"/>
      <c r="AD1986" s="1" t="s">
        <v>116</v>
      </c>
      <c r="AE1986" s="1"/>
      <c r="AF1986" s="1">
        <v>-51.85</v>
      </c>
      <c r="AG1986" s="1">
        <v>-26.585278</v>
      </c>
      <c r="AH1986" s="1" t="s">
        <v>8188</v>
      </c>
      <c r="AI1986" s="1"/>
      <c r="AJ1986" s="1"/>
      <c r="AK1986" s="1"/>
      <c r="AL1986" s="1" t="s">
        <v>118</v>
      </c>
      <c r="AM1986" s="1"/>
      <c r="AN1986" s="1"/>
      <c r="AO1986" s="2">
        <v>44265.5100810185</v>
      </c>
      <c r="AP1986" s="2">
        <v>44265.510625</v>
      </c>
      <c r="AQ1986" s="1" t="s">
        <v>80</v>
      </c>
      <c r="AR1986" s="1" t="s">
        <v>8189</v>
      </c>
      <c r="AS1986" s="1"/>
      <c r="AT1986" s="2">
        <v>44269.931099537</v>
      </c>
    </row>
    <row r="1987" ht="13.5" customHeight="1">
      <c r="A1987" s="1">
        <v>2038232.0</v>
      </c>
      <c r="B1987" s="1" t="s">
        <v>67</v>
      </c>
      <c r="C1987" s="1" t="s">
        <v>68</v>
      </c>
      <c r="D1987" s="1" t="s">
        <v>46</v>
      </c>
      <c r="E1987" s="1" t="s">
        <v>8190</v>
      </c>
      <c r="F1987" s="1"/>
      <c r="G1987" s="1" t="s">
        <v>70</v>
      </c>
      <c r="H1987" s="1" t="s">
        <v>50</v>
      </c>
      <c r="I1987" s="1">
        <v>10500.0</v>
      </c>
      <c r="J1987" s="1"/>
      <c r="K1987" s="1"/>
      <c r="L1987" s="1" t="s">
        <v>167</v>
      </c>
      <c r="M1987" s="1" t="s">
        <v>8191</v>
      </c>
      <c r="N1987" s="1" t="s">
        <v>283</v>
      </c>
      <c r="O1987" s="1" t="s">
        <v>978</v>
      </c>
      <c r="P1987" s="2">
        <v>43754.6666666667</v>
      </c>
      <c r="Q1987" s="1" t="s">
        <v>55</v>
      </c>
      <c r="R1987" s="1"/>
      <c r="S1987" s="1"/>
      <c r="T1987" s="1">
        <v>5107602.0</v>
      </c>
      <c r="U1987" s="1" t="s">
        <v>8072</v>
      </c>
      <c r="V1987" s="1" t="s">
        <v>164</v>
      </c>
      <c r="W1987" s="1" t="s">
        <v>177</v>
      </c>
      <c r="X1987" s="1"/>
      <c r="Y1987" s="1" t="str">
        <f>"02013000073202030"</f>
        <v>02013000073202030</v>
      </c>
      <c r="Z1987" s="1" t="s">
        <v>980</v>
      </c>
      <c r="AA1987" s="1" t="s">
        <v>8192</v>
      </c>
      <c r="AB1987" s="1" t="str">
        <f t="shared" ref="AB1987:AB1988" si="123">"25402516000193"</f>
        <v>25402516000193</v>
      </c>
      <c r="AC1987" s="1"/>
      <c r="AD1987" s="1"/>
      <c r="AE1987" s="1"/>
      <c r="AF1987" s="1">
        <v>-54.706944</v>
      </c>
      <c r="AG1987" s="1">
        <v>-16.416945</v>
      </c>
      <c r="AH1987" s="1" t="s">
        <v>8167</v>
      </c>
      <c r="AI1987" s="1"/>
      <c r="AJ1987" s="1" t="s">
        <v>167</v>
      </c>
      <c r="AK1987" s="1"/>
      <c r="AL1987" s="1" t="s">
        <v>79</v>
      </c>
      <c r="AM1987" s="1" t="s">
        <v>65</v>
      </c>
      <c r="AN1987" s="1" t="s">
        <v>6985</v>
      </c>
      <c r="AO1987" s="2">
        <v>44027.0</v>
      </c>
      <c r="AP1987" s="2">
        <v>44027.7703703704</v>
      </c>
      <c r="AQ1987" s="1" t="s">
        <v>80</v>
      </c>
      <c r="AR1987" s="1" t="s">
        <v>909</v>
      </c>
      <c r="AS1987" s="1"/>
      <c r="AT1987" s="2">
        <v>44269.931099537</v>
      </c>
    </row>
    <row r="1988" ht="13.5" customHeight="1">
      <c r="A1988" s="1"/>
      <c r="B1988" s="1" t="s">
        <v>46</v>
      </c>
      <c r="C1988" s="1" t="s">
        <v>47</v>
      </c>
      <c r="D1988" s="1"/>
      <c r="E1988" s="1" t="s">
        <v>8193</v>
      </c>
      <c r="F1988" s="1"/>
      <c r="G1988" s="1"/>
      <c r="H1988" s="1" t="s">
        <v>50</v>
      </c>
      <c r="I1988" s="1">
        <v>3500.0</v>
      </c>
      <c r="J1988" s="1"/>
      <c r="K1988" s="1" t="s">
        <v>51</v>
      </c>
      <c r="L1988" s="1"/>
      <c r="M1988" s="1" t="s">
        <v>8194</v>
      </c>
      <c r="N1988" s="1" t="s">
        <v>283</v>
      </c>
      <c r="O1988" s="1" t="s">
        <v>1133</v>
      </c>
      <c r="P1988" s="2">
        <v>43754.6610416667</v>
      </c>
      <c r="Q1988" s="1" t="s">
        <v>55</v>
      </c>
      <c r="R1988" s="1"/>
      <c r="S1988" s="1"/>
      <c r="T1988" s="1">
        <v>5107602.0</v>
      </c>
      <c r="U1988" s="1" t="s">
        <v>8072</v>
      </c>
      <c r="V1988" s="1" t="s">
        <v>164</v>
      </c>
      <c r="W1988" s="1" t="s">
        <v>177</v>
      </c>
      <c r="X1988" s="1"/>
      <c r="Y1988" s="1"/>
      <c r="Z1988" s="1" t="s">
        <v>128</v>
      </c>
      <c r="AA1988" s="1" t="s">
        <v>8166</v>
      </c>
      <c r="AB1988" s="1" t="str">
        <f t="shared" si="123"/>
        <v>25402516000193</v>
      </c>
      <c r="AC1988" s="1"/>
      <c r="AD1988" s="1" t="s">
        <v>62</v>
      </c>
      <c r="AE1988" s="1"/>
      <c r="AF1988" s="1">
        <v>-54.70639</v>
      </c>
      <c r="AG1988" s="1">
        <v>-16.416945</v>
      </c>
      <c r="AH1988" s="1" t="s">
        <v>8195</v>
      </c>
      <c r="AI1988" s="1"/>
      <c r="AJ1988" s="1" t="s">
        <v>167</v>
      </c>
      <c r="AK1988" s="1"/>
      <c r="AL1988" s="1"/>
      <c r="AM1988" s="1" t="s">
        <v>65</v>
      </c>
      <c r="AN1988" s="1" t="s">
        <v>6985</v>
      </c>
      <c r="AO1988" s="1"/>
      <c r="AP1988" s="2">
        <v>43754.70625</v>
      </c>
      <c r="AQ1988" s="1"/>
      <c r="AR1988" s="1" t="s">
        <v>3544</v>
      </c>
      <c r="AS1988" s="1"/>
      <c r="AT1988" s="2">
        <v>44269.931099537</v>
      </c>
    </row>
    <row r="1989" ht="13.5" customHeight="1">
      <c r="A1989" s="1"/>
      <c r="B1989" s="1" t="s">
        <v>46</v>
      </c>
      <c r="C1989" s="1" t="s">
        <v>47</v>
      </c>
      <c r="D1989" s="1"/>
      <c r="E1989" s="1" t="s">
        <v>8196</v>
      </c>
      <c r="F1989" s="1"/>
      <c r="G1989" s="1" t="s">
        <v>49</v>
      </c>
      <c r="H1989" s="1" t="s">
        <v>50</v>
      </c>
      <c r="I1989" s="1">
        <v>101500.0</v>
      </c>
      <c r="J1989" s="1"/>
      <c r="K1989" s="1" t="s">
        <v>140</v>
      </c>
      <c r="L1989" s="1"/>
      <c r="M1989" s="1" t="s">
        <v>8197</v>
      </c>
      <c r="N1989" s="1" t="s">
        <v>123</v>
      </c>
      <c r="O1989" s="1" t="s">
        <v>73</v>
      </c>
      <c r="P1989" s="2">
        <v>43754.6494560185</v>
      </c>
      <c r="Q1989" s="1" t="s">
        <v>373</v>
      </c>
      <c r="R1989" s="1"/>
      <c r="S1989" s="1"/>
      <c r="T1989" s="1">
        <v>1400472.0</v>
      </c>
      <c r="U1989" s="1" t="s">
        <v>574</v>
      </c>
      <c r="V1989" s="1" t="s">
        <v>186</v>
      </c>
      <c r="W1989" s="1" t="s">
        <v>177</v>
      </c>
      <c r="X1989" s="1"/>
      <c r="Y1989" s="1" t="str">
        <f>"02025000130202041"</f>
        <v>02025000130202041</v>
      </c>
      <c r="Z1989" s="1" t="s">
        <v>76</v>
      </c>
      <c r="AA1989" s="1" t="s">
        <v>8198</v>
      </c>
      <c r="AB1989" s="1" t="str">
        <f>"13025100000114"</f>
        <v>13025100000114</v>
      </c>
      <c r="AC1989" s="1"/>
      <c r="AD1989" s="1" t="s">
        <v>62</v>
      </c>
      <c r="AE1989" s="1"/>
      <c r="AF1989" s="1"/>
      <c r="AG1989" s="1"/>
      <c r="AH1989" s="1" t="s">
        <v>8199</v>
      </c>
      <c r="AI1989" s="1"/>
      <c r="AJ1989" s="1" t="s">
        <v>415</v>
      </c>
      <c r="AK1989" s="1"/>
      <c r="AL1989" s="1"/>
      <c r="AM1989" s="1" t="s">
        <v>65</v>
      </c>
      <c r="AN1989" s="1" t="s">
        <v>7975</v>
      </c>
      <c r="AO1989" s="1"/>
      <c r="AP1989" s="2">
        <v>44120.7728240741</v>
      </c>
      <c r="AQ1989" s="1"/>
      <c r="AR1989" s="1" t="s">
        <v>153</v>
      </c>
      <c r="AS1989" s="1"/>
      <c r="AT1989" s="2">
        <v>44269.931099537</v>
      </c>
    </row>
    <row r="1990" ht="13.5" customHeight="1">
      <c r="A1990" s="1">
        <v>2038989.0</v>
      </c>
      <c r="B1990" s="1" t="s">
        <v>67</v>
      </c>
      <c r="C1990" s="1" t="s">
        <v>68</v>
      </c>
      <c r="D1990" s="1" t="s">
        <v>46</v>
      </c>
      <c r="E1990" s="1" t="s">
        <v>8200</v>
      </c>
      <c r="F1990" s="1"/>
      <c r="G1990" s="1" t="s">
        <v>70</v>
      </c>
      <c r="H1990" s="1" t="s">
        <v>50</v>
      </c>
      <c r="I1990" s="1">
        <v>15000.0</v>
      </c>
      <c r="J1990" s="1"/>
      <c r="K1990" s="1"/>
      <c r="L1990" s="1" t="s">
        <v>898</v>
      </c>
      <c r="M1990" s="1" t="s">
        <v>8201</v>
      </c>
      <c r="N1990" s="1" t="s">
        <v>283</v>
      </c>
      <c r="O1990" s="1" t="s">
        <v>1133</v>
      </c>
      <c r="P1990" s="2">
        <v>43754.625</v>
      </c>
      <c r="Q1990" s="1" t="s">
        <v>74</v>
      </c>
      <c r="R1990" s="1"/>
      <c r="S1990" s="1"/>
      <c r="T1990" s="1">
        <v>2210607.0</v>
      </c>
      <c r="U1990" s="1" t="s">
        <v>4172</v>
      </c>
      <c r="V1990" s="1" t="s">
        <v>895</v>
      </c>
      <c r="W1990" s="1" t="s">
        <v>113</v>
      </c>
      <c r="X1990" s="1"/>
      <c r="Y1990" s="1" t="str">
        <f>"02020001216202031"</f>
        <v>02020001216202031</v>
      </c>
      <c r="Z1990" s="1" t="s">
        <v>128</v>
      </c>
      <c r="AA1990" s="1" t="s">
        <v>4173</v>
      </c>
      <c r="AB1990" s="1" t="str">
        <f>"05753511000106"</f>
        <v>05753511000106</v>
      </c>
      <c r="AC1990" s="1"/>
      <c r="AD1990" s="1"/>
      <c r="AE1990" s="1"/>
      <c r="AF1990" s="1">
        <v>-42.784443</v>
      </c>
      <c r="AG1990" s="1">
        <v>-5.065278</v>
      </c>
      <c r="AH1990" s="1" t="s">
        <v>8202</v>
      </c>
      <c r="AI1990" s="1"/>
      <c r="AJ1990" s="1" t="s">
        <v>898</v>
      </c>
      <c r="AK1990" s="1"/>
      <c r="AL1990" s="1" t="s">
        <v>79</v>
      </c>
      <c r="AM1990" s="1" t="s">
        <v>65</v>
      </c>
      <c r="AN1990" s="1" t="s">
        <v>152</v>
      </c>
      <c r="AO1990" s="2">
        <v>44050.0</v>
      </c>
      <c r="AP1990" s="2">
        <v>44050.600787037</v>
      </c>
      <c r="AQ1990" s="1" t="s">
        <v>80</v>
      </c>
      <c r="AR1990" s="1" t="s">
        <v>81</v>
      </c>
      <c r="AS1990" s="1"/>
      <c r="AT1990" s="2">
        <v>44269.931099537</v>
      </c>
    </row>
    <row r="1991" ht="13.5" customHeight="1">
      <c r="A1991" s="1"/>
      <c r="B1991" s="1" t="s">
        <v>46</v>
      </c>
      <c r="C1991" s="1" t="s">
        <v>657</v>
      </c>
      <c r="D1991" s="1" t="s">
        <v>67</v>
      </c>
      <c r="E1991" s="1" t="s">
        <v>8203</v>
      </c>
      <c r="F1991" s="1"/>
      <c r="G1991" s="1" t="s">
        <v>49</v>
      </c>
      <c r="H1991" s="1" t="s">
        <v>93</v>
      </c>
      <c r="I1991" s="1">
        <v>1425000.0</v>
      </c>
      <c r="J1991" s="1"/>
      <c r="K1991" s="1"/>
      <c r="L1991" s="1"/>
      <c r="M1991" s="1" t="s">
        <v>8204</v>
      </c>
      <c r="N1991" s="1" t="s">
        <v>142</v>
      </c>
      <c r="O1991" s="1" t="s">
        <v>143</v>
      </c>
      <c r="P1991" s="2">
        <v>43754.5966087963</v>
      </c>
      <c r="Q1991" s="1" t="s">
        <v>74</v>
      </c>
      <c r="R1991" s="1"/>
      <c r="S1991" s="1"/>
      <c r="T1991" s="1">
        <v>1200401.0</v>
      </c>
      <c r="U1991" s="1" t="s">
        <v>5366</v>
      </c>
      <c r="V1991" s="1" t="s">
        <v>498</v>
      </c>
      <c r="W1991" s="1" t="s">
        <v>177</v>
      </c>
      <c r="X1991" s="1"/>
      <c r="Y1991" s="1"/>
      <c r="Z1991" s="1" t="s">
        <v>147</v>
      </c>
      <c r="AA1991" s="1" t="s">
        <v>7774</v>
      </c>
      <c r="AB1991" s="1" t="str">
        <f>"***255442**"</f>
        <v>***255442**</v>
      </c>
      <c r="AC1991" s="1"/>
      <c r="AD1991" s="1" t="s">
        <v>2103</v>
      </c>
      <c r="AE1991" s="1"/>
      <c r="AF1991" s="1">
        <v>-68.90667</v>
      </c>
      <c r="AG1991" s="1">
        <v>-10.306944</v>
      </c>
      <c r="AH1991" s="1" t="s">
        <v>8205</v>
      </c>
      <c r="AI1991" s="1"/>
      <c r="AJ1991" s="1" t="s">
        <v>172</v>
      </c>
      <c r="AK1991" s="1"/>
      <c r="AL1991" s="1"/>
      <c r="AM1991" s="1" t="s">
        <v>65</v>
      </c>
      <c r="AN1991" s="1" t="s">
        <v>6258</v>
      </c>
      <c r="AO1991" s="1"/>
      <c r="AP1991" s="2">
        <v>44004.4804861111</v>
      </c>
      <c r="AQ1991" s="1"/>
      <c r="AR1991" s="1" t="s">
        <v>644</v>
      </c>
      <c r="AS1991" s="1"/>
      <c r="AT1991" s="2">
        <v>44269.931099537</v>
      </c>
    </row>
    <row r="1992" ht="13.5" customHeight="1">
      <c r="A1992" s="1"/>
      <c r="B1992" s="1" t="s">
        <v>46</v>
      </c>
      <c r="C1992" s="1" t="s">
        <v>47</v>
      </c>
      <c r="D1992" s="1"/>
      <c r="E1992" s="1" t="s">
        <v>8206</v>
      </c>
      <c r="F1992" s="1"/>
      <c r="G1992" s="1" t="s">
        <v>49</v>
      </c>
      <c r="H1992" s="1" t="s">
        <v>50</v>
      </c>
      <c r="I1992" s="1">
        <v>14000.0</v>
      </c>
      <c r="J1992" s="1"/>
      <c r="K1992" s="1" t="s">
        <v>51</v>
      </c>
      <c r="L1992" s="1"/>
      <c r="M1992" s="1" t="s">
        <v>8207</v>
      </c>
      <c r="N1992" s="1" t="s">
        <v>142</v>
      </c>
      <c r="O1992" s="1" t="s">
        <v>143</v>
      </c>
      <c r="P1992" s="2">
        <v>43754.5910763889</v>
      </c>
      <c r="Q1992" s="1" t="s">
        <v>74</v>
      </c>
      <c r="R1992" s="3">
        <v>43791.0</v>
      </c>
      <c r="S1992" s="1"/>
      <c r="T1992" s="1">
        <v>1400472.0</v>
      </c>
      <c r="U1992" s="1" t="s">
        <v>574</v>
      </c>
      <c r="V1992" s="1" t="s">
        <v>186</v>
      </c>
      <c r="W1992" s="1" t="s">
        <v>177</v>
      </c>
      <c r="X1992" s="1"/>
      <c r="Y1992" s="1"/>
      <c r="Z1992" s="1" t="s">
        <v>147</v>
      </c>
      <c r="AA1992" s="1" t="s">
        <v>8208</v>
      </c>
      <c r="AB1992" s="1" t="str">
        <f>"***917012**"</f>
        <v>***917012**</v>
      </c>
      <c r="AC1992" s="1"/>
      <c r="AD1992" s="1" t="s">
        <v>116</v>
      </c>
      <c r="AE1992" s="1"/>
      <c r="AF1992" s="1">
        <v>-60.472778</v>
      </c>
      <c r="AG1992" s="1"/>
      <c r="AH1992" s="1" t="s">
        <v>8209</v>
      </c>
      <c r="AI1992" s="1"/>
      <c r="AJ1992" s="1" t="s">
        <v>415</v>
      </c>
      <c r="AK1992" s="1"/>
      <c r="AL1992" s="1"/>
      <c r="AM1992" s="1" t="s">
        <v>65</v>
      </c>
      <c r="AN1992" s="1" t="s">
        <v>7975</v>
      </c>
      <c r="AO1992" s="1"/>
      <c r="AP1992" s="2">
        <v>44096.9474074074</v>
      </c>
      <c r="AQ1992" s="1"/>
      <c r="AR1992" s="1" t="s">
        <v>8210</v>
      </c>
      <c r="AS1992" s="1"/>
      <c r="AT1992" s="2">
        <v>44269.931099537</v>
      </c>
    </row>
    <row r="1993" ht="13.5" customHeight="1">
      <c r="A1993" s="1"/>
      <c r="B1993" s="1" t="s">
        <v>46</v>
      </c>
      <c r="C1993" s="1" t="s">
        <v>47</v>
      </c>
      <c r="D1993" s="1"/>
      <c r="E1993" s="1" t="s">
        <v>8211</v>
      </c>
      <c r="F1993" s="1"/>
      <c r="G1993" s="1"/>
      <c r="H1993" s="1" t="s">
        <v>93</v>
      </c>
      <c r="I1993" s="1">
        <v>50313.0</v>
      </c>
      <c r="J1993" s="1"/>
      <c r="K1993" s="1"/>
      <c r="L1993" s="1"/>
      <c r="M1993" s="1" t="s">
        <v>8212</v>
      </c>
      <c r="N1993" s="1" t="s">
        <v>142</v>
      </c>
      <c r="O1993" s="1" t="s">
        <v>143</v>
      </c>
      <c r="P1993" s="2">
        <v>43754.5788194444</v>
      </c>
      <c r="Q1993" s="1" t="s">
        <v>55</v>
      </c>
      <c r="R1993" s="1"/>
      <c r="S1993" s="1"/>
      <c r="T1993" s="1">
        <v>1400472.0</v>
      </c>
      <c r="U1993" s="1" t="s">
        <v>574</v>
      </c>
      <c r="V1993" s="1" t="s">
        <v>186</v>
      </c>
      <c r="W1993" s="1" t="s">
        <v>177</v>
      </c>
      <c r="X1993" s="1"/>
      <c r="Y1993" s="1"/>
      <c r="Z1993" s="1" t="s">
        <v>147</v>
      </c>
      <c r="AA1993" s="1" t="s">
        <v>8162</v>
      </c>
      <c r="AB1993" s="1" t="str">
        <f>"21604695000190"</f>
        <v>21604695000190</v>
      </c>
      <c r="AC1993" s="1"/>
      <c r="AD1993" s="1" t="s">
        <v>149</v>
      </c>
      <c r="AE1993" s="1"/>
      <c r="AF1993" s="1"/>
      <c r="AG1993" s="1"/>
      <c r="AH1993" s="1" t="s">
        <v>8213</v>
      </c>
      <c r="AI1993" s="1"/>
      <c r="AJ1993" s="1" t="s">
        <v>415</v>
      </c>
      <c r="AK1993" s="1"/>
      <c r="AL1993" s="1"/>
      <c r="AM1993" s="1" t="s">
        <v>65</v>
      </c>
      <c r="AN1993" s="1" t="s">
        <v>7975</v>
      </c>
      <c r="AO1993" s="1"/>
      <c r="AP1993" s="2">
        <v>43754.6315972222</v>
      </c>
      <c r="AQ1993" s="1"/>
      <c r="AR1993" s="1" t="s">
        <v>399</v>
      </c>
      <c r="AS1993" s="1"/>
      <c r="AT1993" s="2">
        <v>44269.931099537</v>
      </c>
    </row>
    <row r="1994" ht="13.5" customHeight="1">
      <c r="A1994" s="1"/>
      <c r="B1994" s="1" t="s">
        <v>46</v>
      </c>
      <c r="C1994" s="1" t="s">
        <v>47</v>
      </c>
      <c r="D1994" s="1"/>
      <c r="E1994" s="1" t="s">
        <v>8214</v>
      </c>
      <c r="F1994" s="1"/>
      <c r="G1994" s="1" t="s">
        <v>49</v>
      </c>
      <c r="H1994" s="1" t="s">
        <v>93</v>
      </c>
      <c r="I1994" s="1">
        <v>11930.7</v>
      </c>
      <c r="J1994" s="1"/>
      <c r="K1994" s="1"/>
      <c r="L1994" s="1"/>
      <c r="M1994" s="1" t="s">
        <v>8215</v>
      </c>
      <c r="N1994" s="1" t="s">
        <v>142</v>
      </c>
      <c r="O1994" s="1" t="s">
        <v>143</v>
      </c>
      <c r="P1994" s="2">
        <v>43754.565474537</v>
      </c>
      <c r="Q1994" s="1" t="s">
        <v>55</v>
      </c>
      <c r="R1994" s="1"/>
      <c r="S1994" s="1"/>
      <c r="T1994" s="1">
        <v>1400472.0</v>
      </c>
      <c r="U1994" s="1" t="s">
        <v>574</v>
      </c>
      <c r="V1994" s="1" t="s">
        <v>186</v>
      </c>
      <c r="W1994" s="1" t="s">
        <v>177</v>
      </c>
      <c r="X1994" s="1"/>
      <c r="Y1994" s="1"/>
      <c r="Z1994" s="1" t="s">
        <v>147</v>
      </c>
      <c r="AA1994" s="1" t="s">
        <v>8216</v>
      </c>
      <c r="AB1994" s="1" t="str">
        <f>"14353199000146"</f>
        <v>14353199000146</v>
      </c>
      <c r="AC1994" s="1"/>
      <c r="AD1994" s="1" t="s">
        <v>149</v>
      </c>
      <c r="AE1994" s="1"/>
      <c r="AF1994" s="1">
        <v>-60.462223</v>
      </c>
      <c r="AG1994" s="1">
        <v>0.595278</v>
      </c>
      <c r="AH1994" s="1" t="s">
        <v>8217</v>
      </c>
      <c r="AI1994" s="1"/>
      <c r="AJ1994" s="1" t="s">
        <v>415</v>
      </c>
      <c r="AK1994" s="1"/>
      <c r="AL1994" s="1"/>
      <c r="AM1994" s="1" t="s">
        <v>65</v>
      </c>
      <c r="AN1994" s="1" t="s">
        <v>7975</v>
      </c>
      <c r="AO1994" s="1"/>
      <c r="AP1994" s="2">
        <v>44050.8729398148</v>
      </c>
      <c r="AQ1994" s="1"/>
      <c r="AR1994" s="1" t="s">
        <v>399</v>
      </c>
      <c r="AS1994" s="1"/>
      <c r="AT1994" s="2">
        <v>44269.931099537</v>
      </c>
    </row>
    <row r="1995" ht="13.5" customHeight="1">
      <c r="A1995" s="1"/>
      <c r="B1995" s="1" t="s">
        <v>46</v>
      </c>
      <c r="C1995" s="1" t="s">
        <v>47</v>
      </c>
      <c r="D1995" s="1"/>
      <c r="E1995" s="1" t="s">
        <v>8218</v>
      </c>
      <c r="F1995" s="1"/>
      <c r="G1995" s="1" t="s">
        <v>49</v>
      </c>
      <c r="H1995" s="1" t="s">
        <v>93</v>
      </c>
      <c r="I1995" s="1">
        <v>446000.0</v>
      </c>
      <c r="J1995" s="1"/>
      <c r="K1995" s="1"/>
      <c r="L1995" s="1"/>
      <c r="M1995" s="1" t="s">
        <v>8219</v>
      </c>
      <c r="N1995" s="1" t="s">
        <v>977</v>
      </c>
      <c r="O1995" s="1" t="s">
        <v>978</v>
      </c>
      <c r="P1995" s="2">
        <v>43754.5602546296</v>
      </c>
      <c r="Q1995" s="1" t="s">
        <v>74</v>
      </c>
      <c r="R1995" s="3">
        <v>43753.0</v>
      </c>
      <c r="S1995" s="1"/>
      <c r="T1995" s="1">
        <v>5103254.0</v>
      </c>
      <c r="U1995" s="1" t="s">
        <v>5275</v>
      </c>
      <c r="V1995" s="1" t="s">
        <v>164</v>
      </c>
      <c r="W1995" s="1" t="s">
        <v>177</v>
      </c>
      <c r="X1995" s="1"/>
      <c r="Y1995" s="1"/>
      <c r="Z1995" s="1" t="s">
        <v>980</v>
      </c>
      <c r="AA1995" s="1" t="s">
        <v>8220</v>
      </c>
      <c r="AB1995" s="1" t="str">
        <f>"***639452**"</f>
        <v>***639452**</v>
      </c>
      <c r="AC1995" s="1"/>
      <c r="AD1995" s="1" t="s">
        <v>3310</v>
      </c>
      <c r="AE1995" s="1"/>
      <c r="AF1995" s="1">
        <v>-60.802776</v>
      </c>
      <c r="AG1995" s="1">
        <v>-9.343333</v>
      </c>
      <c r="AH1995" s="1" t="s">
        <v>8221</v>
      </c>
      <c r="AI1995" s="1"/>
      <c r="AJ1995" s="1" t="s">
        <v>167</v>
      </c>
      <c r="AK1995" s="1"/>
      <c r="AL1995" s="1"/>
      <c r="AM1995" s="1" t="s">
        <v>65</v>
      </c>
      <c r="AN1995" s="1" t="s">
        <v>132</v>
      </c>
      <c r="AO1995" s="1"/>
      <c r="AP1995" s="2">
        <v>43927.6963657407</v>
      </c>
      <c r="AQ1995" s="1"/>
      <c r="AR1995" s="1" t="s">
        <v>8159</v>
      </c>
      <c r="AS1995" s="1"/>
      <c r="AT1995" s="2">
        <v>44269.931099537</v>
      </c>
    </row>
    <row r="1996" ht="13.5" customHeight="1">
      <c r="A1996" s="1"/>
      <c r="B1996" s="1" t="s">
        <v>46</v>
      </c>
      <c r="C1996" s="1" t="s">
        <v>47</v>
      </c>
      <c r="D1996" s="1"/>
      <c r="E1996" s="1" t="s">
        <v>8222</v>
      </c>
      <c r="F1996" s="1"/>
      <c r="G1996" s="1"/>
      <c r="H1996" s="1" t="s">
        <v>93</v>
      </c>
      <c r="I1996" s="1">
        <v>121500.0</v>
      </c>
      <c r="J1996" s="1"/>
      <c r="K1996" s="1" t="s">
        <v>140</v>
      </c>
      <c r="L1996" s="1"/>
      <c r="M1996" s="1" t="s">
        <v>8223</v>
      </c>
      <c r="N1996" s="1" t="s">
        <v>123</v>
      </c>
      <c r="O1996" s="1" t="s">
        <v>73</v>
      </c>
      <c r="P1996" s="2">
        <v>43754.5464814815</v>
      </c>
      <c r="Q1996" s="1" t="s">
        <v>55</v>
      </c>
      <c r="R1996" s="1"/>
      <c r="S1996" s="1"/>
      <c r="T1996" s="1">
        <v>1400472.0</v>
      </c>
      <c r="U1996" s="1" t="s">
        <v>574</v>
      </c>
      <c r="V1996" s="1" t="s">
        <v>186</v>
      </c>
      <c r="W1996" s="1" t="s">
        <v>177</v>
      </c>
      <c r="X1996" s="1"/>
      <c r="Y1996" s="1"/>
      <c r="Z1996" s="1" t="s">
        <v>76</v>
      </c>
      <c r="AA1996" s="1" t="s">
        <v>8162</v>
      </c>
      <c r="AB1996" s="1" t="str">
        <f>"21604695000190"</f>
        <v>21604695000190</v>
      </c>
      <c r="AC1996" s="1"/>
      <c r="AD1996" s="1" t="s">
        <v>149</v>
      </c>
      <c r="AE1996" s="1"/>
      <c r="AF1996" s="1"/>
      <c r="AG1996" s="1"/>
      <c r="AH1996" s="1" t="s">
        <v>8163</v>
      </c>
      <c r="AI1996" s="1"/>
      <c r="AJ1996" s="1" t="s">
        <v>415</v>
      </c>
      <c r="AK1996" s="1"/>
      <c r="AL1996" s="1"/>
      <c r="AM1996" s="1" t="s">
        <v>65</v>
      </c>
      <c r="AN1996" s="1" t="s">
        <v>7975</v>
      </c>
      <c r="AO1996" s="1"/>
      <c r="AP1996" s="2">
        <v>43754.6160300926</v>
      </c>
      <c r="AQ1996" s="1"/>
      <c r="AR1996" s="1" t="s">
        <v>8224</v>
      </c>
      <c r="AS1996" s="1"/>
      <c r="AT1996" s="2">
        <v>44269.931099537</v>
      </c>
    </row>
    <row r="1997" ht="13.5" customHeight="1">
      <c r="A1997" s="1">
        <v>2035308.0</v>
      </c>
      <c r="B1997" s="1" t="s">
        <v>67</v>
      </c>
      <c r="C1997" s="1" t="s">
        <v>68</v>
      </c>
      <c r="D1997" s="1" t="s">
        <v>46</v>
      </c>
      <c r="E1997" s="1" t="s">
        <v>8225</v>
      </c>
      <c r="F1997" s="1"/>
      <c r="G1997" s="1" t="s">
        <v>70</v>
      </c>
      <c r="H1997" s="1" t="s">
        <v>50</v>
      </c>
      <c r="I1997" s="1">
        <v>20000.0</v>
      </c>
      <c r="J1997" s="1"/>
      <c r="K1997" s="1"/>
      <c r="L1997" s="1" t="s">
        <v>172</v>
      </c>
      <c r="M1997" s="1" t="s">
        <v>8226</v>
      </c>
      <c r="N1997" s="1" t="s">
        <v>72</v>
      </c>
      <c r="O1997" s="1" t="s">
        <v>73</v>
      </c>
      <c r="P1997" s="2">
        <v>43754.5416666667</v>
      </c>
      <c r="Q1997" s="1" t="s">
        <v>74</v>
      </c>
      <c r="R1997" s="3">
        <v>43753.0</v>
      </c>
      <c r="S1997" s="1"/>
      <c r="T1997" s="1">
        <v>1506195.0</v>
      </c>
      <c r="U1997" s="1" t="s">
        <v>7907</v>
      </c>
      <c r="V1997" s="1" t="s">
        <v>193</v>
      </c>
      <c r="W1997" s="1" t="s">
        <v>177</v>
      </c>
      <c r="X1997" s="1"/>
      <c r="Y1997" s="1" t="str">
        <f>"02001006442202037"</f>
        <v>02001006442202037</v>
      </c>
      <c r="Z1997" s="1" t="s">
        <v>76</v>
      </c>
      <c r="AA1997" s="1" t="s">
        <v>8227</v>
      </c>
      <c r="AB1997" s="1" t="str">
        <f>"***945042**"</f>
        <v>***945042**</v>
      </c>
      <c r="AC1997" s="1"/>
      <c r="AD1997" s="1"/>
      <c r="AE1997" s="1"/>
      <c r="AF1997" s="1">
        <v>-54.886112</v>
      </c>
      <c r="AG1997" s="1">
        <v>-4.100833</v>
      </c>
      <c r="AH1997" s="1" t="s">
        <v>8228</v>
      </c>
      <c r="AI1997" s="1"/>
      <c r="AJ1997" s="1" t="s">
        <v>172</v>
      </c>
      <c r="AK1997" s="1"/>
      <c r="AL1997" s="1" t="s">
        <v>79</v>
      </c>
      <c r="AM1997" s="1" t="s">
        <v>65</v>
      </c>
      <c r="AN1997" s="1" t="s">
        <v>6258</v>
      </c>
      <c r="AO1997" s="2">
        <v>43900.0</v>
      </c>
      <c r="AP1997" s="2">
        <v>43900.6252199074</v>
      </c>
      <c r="AQ1997" s="1" t="s">
        <v>80</v>
      </c>
      <c r="AR1997" s="1" t="s">
        <v>1607</v>
      </c>
      <c r="AS1997" s="1"/>
      <c r="AT1997" s="2">
        <v>44269.931099537</v>
      </c>
    </row>
    <row r="1998" ht="13.5" customHeight="1">
      <c r="A1998" s="1">
        <v>2039010.0</v>
      </c>
      <c r="B1998" s="1" t="s">
        <v>67</v>
      </c>
      <c r="C1998" s="1" t="s">
        <v>68</v>
      </c>
      <c r="D1998" s="1" t="s">
        <v>46</v>
      </c>
      <c r="E1998" s="1" t="s">
        <v>8229</v>
      </c>
      <c r="F1998" s="1"/>
      <c r="G1998" s="1" t="s">
        <v>70</v>
      </c>
      <c r="H1998" s="1" t="s">
        <v>50</v>
      </c>
      <c r="I1998" s="1">
        <v>15000.0</v>
      </c>
      <c r="J1998" s="1"/>
      <c r="K1998" s="1"/>
      <c r="L1998" s="1" t="s">
        <v>172</v>
      </c>
      <c r="M1998" s="1" t="s">
        <v>8230</v>
      </c>
      <c r="N1998" s="1" t="s">
        <v>72</v>
      </c>
      <c r="O1998" s="1" t="s">
        <v>73</v>
      </c>
      <c r="P1998" s="2">
        <v>43754.5</v>
      </c>
      <c r="Q1998" s="1" t="s">
        <v>74</v>
      </c>
      <c r="R1998" s="3">
        <v>43759.0</v>
      </c>
      <c r="S1998" s="1"/>
      <c r="T1998" s="1">
        <v>1506195.0</v>
      </c>
      <c r="U1998" s="1" t="s">
        <v>7907</v>
      </c>
      <c r="V1998" s="1" t="s">
        <v>193</v>
      </c>
      <c r="W1998" s="1" t="s">
        <v>177</v>
      </c>
      <c r="X1998" s="1"/>
      <c r="Y1998" s="1" t="str">
        <f>"02001018207202016"</f>
        <v>02001018207202016</v>
      </c>
      <c r="Z1998" s="1" t="s">
        <v>76</v>
      </c>
      <c r="AA1998" s="1" t="s">
        <v>8231</v>
      </c>
      <c r="AB1998" s="1" t="str">
        <f>"***708152**"</f>
        <v>***708152**</v>
      </c>
      <c r="AC1998" s="1"/>
      <c r="AD1998" s="1"/>
      <c r="AE1998" s="1"/>
      <c r="AF1998" s="1">
        <v>-55.106941</v>
      </c>
      <c r="AG1998" s="1">
        <v>-4.165</v>
      </c>
      <c r="AH1998" s="1" t="s">
        <v>8232</v>
      </c>
      <c r="AI1998" s="1"/>
      <c r="AJ1998" s="1" t="s">
        <v>172</v>
      </c>
      <c r="AK1998" s="1"/>
      <c r="AL1998" s="1" t="s">
        <v>79</v>
      </c>
      <c r="AM1998" s="1" t="s">
        <v>65</v>
      </c>
      <c r="AN1998" s="1" t="s">
        <v>6258</v>
      </c>
      <c r="AO1998" s="2">
        <v>44053.0</v>
      </c>
      <c r="AP1998" s="2">
        <v>44053.3312152778</v>
      </c>
      <c r="AQ1998" s="1" t="s">
        <v>80</v>
      </c>
      <c r="AR1998" s="1" t="s">
        <v>1607</v>
      </c>
      <c r="AS1998" s="1"/>
      <c r="AT1998" s="2">
        <v>44269.931099537</v>
      </c>
    </row>
    <row r="1999" ht="13.5" customHeight="1">
      <c r="A1999" s="1"/>
      <c r="B1999" s="1" t="s">
        <v>46</v>
      </c>
      <c r="C1999" s="1" t="s">
        <v>47</v>
      </c>
      <c r="D1999" s="1"/>
      <c r="E1999" s="1" t="s">
        <v>8233</v>
      </c>
      <c r="F1999" s="1"/>
      <c r="G1999" s="1" t="s">
        <v>49</v>
      </c>
      <c r="H1999" s="1" t="s">
        <v>50</v>
      </c>
      <c r="I1999" s="1">
        <v>101500.0</v>
      </c>
      <c r="J1999" s="1"/>
      <c r="K1999" s="1" t="s">
        <v>140</v>
      </c>
      <c r="L1999" s="1"/>
      <c r="M1999" s="1" t="s">
        <v>8234</v>
      </c>
      <c r="N1999" s="1" t="s">
        <v>142</v>
      </c>
      <c r="O1999" s="1" t="s">
        <v>143</v>
      </c>
      <c r="P1999" s="2">
        <v>43754.4985416667</v>
      </c>
      <c r="Q1999" s="1" t="s">
        <v>55</v>
      </c>
      <c r="R1999" s="1"/>
      <c r="S1999" s="1"/>
      <c r="T1999" s="1">
        <v>1400472.0</v>
      </c>
      <c r="U1999" s="1" t="s">
        <v>574</v>
      </c>
      <c r="V1999" s="1" t="s">
        <v>186</v>
      </c>
      <c r="W1999" s="1" t="s">
        <v>177</v>
      </c>
      <c r="X1999" s="1"/>
      <c r="Y1999" s="1" t="str">
        <f>"02025000127202028"</f>
        <v>02025000127202028</v>
      </c>
      <c r="Z1999" s="1" t="s">
        <v>147</v>
      </c>
      <c r="AA1999" s="1" t="s">
        <v>8216</v>
      </c>
      <c r="AB1999" s="1" t="str">
        <f>"14353199000146"</f>
        <v>14353199000146</v>
      </c>
      <c r="AC1999" s="1"/>
      <c r="AD1999" s="1" t="s">
        <v>149</v>
      </c>
      <c r="AE1999" s="1"/>
      <c r="AF1999" s="1">
        <v>-60.463333</v>
      </c>
      <c r="AG1999" s="1"/>
      <c r="AH1999" s="1" t="s">
        <v>8235</v>
      </c>
      <c r="AI1999" s="1"/>
      <c r="AJ1999" s="1" t="s">
        <v>415</v>
      </c>
      <c r="AK1999" s="1"/>
      <c r="AL1999" s="1"/>
      <c r="AM1999" s="1" t="s">
        <v>65</v>
      </c>
      <c r="AN1999" s="1" t="s">
        <v>7975</v>
      </c>
      <c r="AO1999" s="1"/>
      <c r="AP1999" s="2">
        <v>44050.8730324074</v>
      </c>
      <c r="AQ1999" s="1"/>
      <c r="AR1999" s="1" t="s">
        <v>8224</v>
      </c>
      <c r="AS1999" s="1"/>
      <c r="AT1999" s="2">
        <v>44269.931099537</v>
      </c>
    </row>
    <row r="2000" ht="13.5" customHeight="1">
      <c r="A2000" s="1"/>
      <c r="B2000" s="1" t="s">
        <v>46</v>
      </c>
      <c r="C2000" s="1" t="s">
        <v>47</v>
      </c>
      <c r="D2000" s="1"/>
      <c r="E2000" s="1" t="s">
        <v>8236</v>
      </c>
      <c r="F2000" s="1"/>
      <c r="G2000" s="1"/>
      <c r="H2000" s="1" t="s">
        <v>93</v>
      </c>
      <c r="I2000" s="1">
        <v>10500.0</v>
      </c>
      <c r="J2000" s="1"/>
      <c r="K2000" s="1" t="s">
        <v>51</v>
      </c>
      <c r="L2000" s="1"/>
      <c r="M2000" s="1" t="s">
        <v>8237</v>
      </c>
      <c r="N2000" s="1" t="s">
        <v>977</v>
      </c>
      <c r="O2000" s="1" t="s">
        <v>978</v>
      </c>
      <c r="P2000" s="2">
        <v>43754.4892013889</v>
      </c>
      <c r="Q2000" s="1" t="s">
        <v>55</v>
      </c>
      <c r="R2000" s="1"/>
      <c r="S2000" s="1"/>
      <c r="T2000" s="1">
        <v>5107602.0</v>
      </c>
      <c r="U2000" s="1" t="s">
        <v>8072</v>
      </c>
      <c r="V2000" s="1" t="s">
        <v>164</v>
      </c>
      <c r="W2000" s="1" t="s">
        <v>177</v>
      </c>
      <c r="X2000" s="1"/>
      <c r="Y2000" s="1"/>
      <c r="Z2000" s="1" t="s">
        <v>980</v>
      </c>
      <c r="AA2000" s="1" t="s">
        <v>8238</v>
      </c>
      <c r="AB2000" s="1" t="str">
        <f>"43998509002202"</f>
        <v>43998509002202</v>
      </c>
      <c r="AC2000" s="1"/>
      <c r="AD2000" s="1" t="s">
        <v>62</v>
      </c>
      <c r="AE2000" s="1"/>
      <c r="AF2000" s="1">
        <v>-54.706944</v>
      </c>
      <c r="AG2000" s="1">
        <v>-16.416945</v>
      </c>
      <c r="AH2000" s="1" t="s">
        <v>8239</v>
      </c>
      <c r="AI2000" s="1"/>
      <c r="AJ2000" s="1" t="s">
        <v>167</v>
      </c>
      <c r="AK2000" s="1"/>
      <c r="AL2000" s="1"/>
      <c r="AM2000" s="1" t="s">
        <v>65</v>
      </c>
      <c r="AN2000" s="1" t="s">
        <v>6985</v>
      </c>
      <c r="AO2000" s="1"/>
      <c r="AP2000" s="2">
        <v>43754.5029398148</v>
      </c>
      <c r="AQ2000" s="1"/>
      <c r="AR2000" s="1" t="s">
        <v>229</v>
      </c>
      <c r="AS2000" s="1"/>
      <c r="AT2000" s="2">
        <v>44269.931099537</v>
      </c>
    </row>
    <row r="2001" ht="13.5" customHeight="1">
      <c r="A2001" s="1"/>
      <c r="B2001" s="1" t="s">
        <v>46</v>
      </c>
      <c r="C2001" s="1" t="s">
        <v>47</v>
      </c>
      <c r="D2001" s="1"/>
      <c r="E2001" s="1" t="s">
        <v>8240</v>
      </c>
      <c r="F2001" s="1"/>
      <c r="G2001" s="1"/>
      <c r="H2001" s="1" t="s">
        <v>93</v>
      </c>
      <c r="I2001" s="1">
        <v>10500.0</v>
      </c>
      <c r="J2001" s="1"/>
      <c r="K2001" s="1" t="s">
        <v>51</v>
      </c>
      <c r="L2001" s="1"/>
      <c r="M2001" s="1" t="s">
        <v>8241</v>
      </c>
      <c r="N2001" s="1" t="s">
        <v>123</v>
      </c>
      <c r="O2001" s="1" t="s">
        <v>73</v>
      </c>
      <c r="P2001" s="2">
        <v>43754.4661574074</v>
      </c>
      <c r="Q2001" s="1" t="s">
        <v>55</v>
      </c>
      <c r="R2001" s="1"/>
      <c r="S2001" s="1"/>
      <c r="T2001" s="1">
        <v>5107602.0</v>
      </c>
      <c r="U2001" s="1" t="s">
        <v>8072</v>
      </c>
      <c r="V2001" s="1" t="s">
        <v>164</v>
      </c>
      <c r="W2001" s="1" t="s">
        <v>177</v>
      </c>
      <c r="X2001" s="1"/>
      <c r="Y2001" s="1"/>
      <c r="Z2001" s="1" t="s">
        <v>76</v>
      </c>
      <c r="AA2001" s="1" t="s">
        <v>8242</v>
      </c>
      <c r="AB2001" s="1" t="str">
        <f>"14809173000321"</f>
        <v>14809173000321</v>
      </c>
      <c r="AC2001" s="1"/>
      <c r="AD2001" s="1" t="s">
        <v>62</v>
      </c>
      <c r="AE2001" s="1"/>
      <c r="AF2001" s="1">
        <v>-54.706944</v>
      </c>
      <c r="AG2001" s="1">
        <v>-16.416945</v>
      </c>
      <c r="AH2001" s="1" t="s">
        <v>8239</v>
      </c>
      <c r="AI2001" s="1"/>
      <c r="AJ2001" s="1" t="s">
        <v>167</v>
      </c>
      <c r="AK2001" s="1"/>
      <c r="AL2001" s="1"/>
      <c r="AM2001" s="1" t="s">
        <v>65</v>
      </c>
      <c r="AN2001" s="1" t="s">
        <v>6985</v>
      </c>
      <c r="AO2001" s="1"/>
      <c r="AP2001" s="2">
        <v>43754.4791550926</v>
      </c>
      <c r="AQ2001" s="1"/>
      <c r="AR2001" s="1" t="s">
        <v>229</v>
      </c>
      <c r="AS2001" s="1"/>
      <c r="AT2001" s="2">
        <v>44269.931099537</v>
      </c>
    </row>
    <row r="2002" ht="13.5" customHeight="1">
      <c r="A2002" s="1">
        <v>2034707.0</v>
      </c>
      <c r="B2002" s="1" t="s">
        <v>67</v>
      </c>
      <c r="C2002" s="1" t="s">
        <v>68</v>
      </c>
      <c r="D2002" s="1" t="s">
        <v>46</v>
      </c>
      <c r="E2002" s="1" t="s">
        <v>8243</v>
      </c>
      <c r="F2002" s="1"/>
      <c r="G2002" s="1" t="s">
        <v>70</v>
      </c>
      <c r="H2002" s="1" t="s">
        <v>50</v>
      </c>
      <c r="I2002" s="1">
        <v>1500.0</v>
      </c>
      <c r="J2002" s="1"/>
      <c r="K2002" s="1"/>
      <c r="L2002" s="1" t="s">
        <v>64</v>
      </c>
      <c r="M2002" s="1" t="s">
        <v>8244</v>
      </c>
      <c r="N2002" s="1" t="s">
        <v>95</v>
      </c>
      <c r="O2002" s="1" t="s">
        <v>96</v>
      </c>
      <c r="P2002" s="2">
        <v>43754.4583333333</v>
      </c>
      <c r="Q2002" s="1" t="s">
        <v>74</v>
      </c>
      <c r="R2002" s="3">
        <v>43753.0</v>
      </c>
      <c r="S2002" s="1"/>
      <c r="T2002" s="1">
        <v>3534906.0</v>
      </c>
      <c r="U2002" s="1" t="s">
        <v>8245</v>
      </c>
      <c r="V2002" s="1" t="s">
        <v>58</v>
      </c>
      <c r="W2002" s="1" t="s">
        <v>127</v>
      </c>
      <c r="X2002" s="1"/>
      <c r="Y2002" s="1" t="str">
        <f>"02027001196202039"</f>
        <v>02027001196202039</v>
      </c>
      <c r="Z2002" s="1" t="s">
        <v>98</v>
      </c>
      <c r="AA2002" s="1" t="s">
        <v>8246</v>
      </c>
      <c r="AB2002" s="1" t="str">
        <f>"***087168**"</f>
        <v>***087168**</v>
      </c>
      <c r="AC2002" s="1"/>
      <c r="AD2002" s="1"/>
      <c r="AE2002" s="1"/>
      <c r="AF2002" s="1">
        <v>-51.264446</v>
      </c>
      <c r="AG2002" s="1">
        <v>-21.566946</v>
      </c>
      <c r="AH2002" s="1" t="s">
        <v>8247</v>
      </c>
      <c r="AI2002" s="1"/>
      <c r="AJ2002" s="1" t="s">
        <v>64</v>
      </c>
      <c r="AK2002" s="1"/>
      <c r="AL2002" s="1" t="s">
        <v>79</v>
      </c>
      <c r="AM2002" s="1" t="s">
        <v>65</v>
      </c>
      <c r="AN2002" s="1"/>
      <c r="AO2002" s="2">
        <v>43889.0</v>
      </c>
      <c r="AP2002" s="2">
        <v>43889.5916550926</v>
      </c>
      <c r="AQ2002" s="1" t="s">
        <v>80</v>
      </c>
      <c r="AR2002" s="1" t="s">
        <v>81</v>
      </c>
      <c r="AS2002" s="1"/>
      <c r="AT2002" s="2">
        <v>44269.931099537</v>
      </c>
    </row>
    <row r="2003" ht="13.5" customHeight="1">
      <c r="A2003" s="1">
        <v>2039238.0</v>
      </c>
      <c r="B2003" s="1" t="s">
        <v>67</v>
      </c>
      <c r="C2003" s="1" t="s">
        <v>68</v>
      </c>
      <c r="D2003" s="1" t="s">
        <v>46</v>
      </c>
      <c r="E2003" s="1" t="s">
        <v>8248</v>
      </c>
      <c r="F2003" s="1"/>
      <c r="G2003" s="1" t="s">
        <v>70</v>
      </c>
      <c r="H2003" s="1" t="s">
        <v>50</v>
      </c>
      <c r="I2003" s="1">
        <v>1300.0</v>
      </c>
      <c r="J2003" s="1"/>
      <c r="K2003" s="1"/>
      <c r="L2003" s="1" t="s">
        <v>64</v>
      </c>
      <c r="M2003" s="1" t="s">
        <v>8249</v>
      </c>
      <c r="N2003" s="1" t="s">
        <v>108</v>
      </c>
      <c r="O2003" s="1" t="s">
        <v>109</v>
      </c>
      <c r="P2003" s="2">
        <v>43754.4583333333</v>
      </c>
      <c r="Q2003" s="1" t="s">
        <v>74</v>
      </c>
      <c r="R2003" s="3">
        <v>43762.0</v>
      </c>
      <c r="S2003" s="1"/>
      <c r="T2003" s="1">
        <v>3509502.0</v>
      </c>
      <c r="U2003" s="1" t="s">
        <v>97</v>
      </c>
      <c r="V2003" s="1" t="s">
        <v>58</v>
      </c>
      <c r="W2003" s="1" t="s">
        <v>59</v>
      </c>
      <c r="X2003" s="1"/>
      <c r="Y2003" s="1" t="str">
        <f>"02027022384201967"</f>
        <v>02027022384201967</v>
      </c>
      <c r="Z2003" s="1" t="s">
        <v>226</v>
      </c>
      <c r="AA2003" s="1" t="s">
        <v>8250</v>
      </c>
      <c r="AB2003" s="1" t="str">
        <f>"00362831000880"</f>
        <v>00362831000880</v>
      </c>
      <c r="AC2003" s="1"/>
      <c r="AD2003" s="1"/>
      <c r="AE2003" s="1"/>
      <c r="AF2003" s="1">
        <v>-47.144169</v>
      </c>
      <c r="AG2003" s="1">
        <v>-23.007778</v>
      </c>
      <c r="AH2003" s="1" t="s">
        <v>8251</v>
      </c>
      <c r="AI2003" s="1"/>
      <c r="AJ2003" s="1" t="s">
        <v>64</v>
      </c>
      <c r="AK2003" s="1"/>
      <c r="AL2003" s="1" t="s">
        <v>79</v>
      </c>
      <c r="AM2003" s="1" t="s">
        <v>65</v>
      </c>
      <c r="AN2003" s="1"/>
      <c r="AO2003" s="2">
        <v>44057.0</v>
      </c>
      <c r="AP2003" s="2">
        <v>44057.3273726852</v>
      </c>
      <c r="AQ2003" s="1" t="s">
        <v>80</v>
      </c>
      <c r="AR2003" s="1" t="s">
        <v>507</v>
      </c>
      <c r="AS2003" s="1"/>
      <c r="AT2003" s="2">
        <v>44269.931099537</v>
      </c>
    </row>
    <row r="2004" ht="13.5" customHeight="1">
      <c r="A2004" s="1"/>
      <c r="B2004" s="1" t="s">
        <v>46</v>
      </c>
      <c r="C2004" s="1" t="s">
        <v>47</v>
      </c>
      <c r="D2004" s="1"/>
      <c r="E2004" s="1" t="s">
        <v>8252</v>
      </c>
      <c r="F2004" s="1"/>
      <c r="G2004" s="1" t="s">
        <v>49</v>
      </c>
      <c r="H2004" s="1" t="s">
        <v>93</v>
      </c>
      <c r="I2004" s="1">
        <v>25000.0</v>
      </c>
      <c r="J2004" s="1"/>
      <c r="K2004" s="1"/>
      <c r="L2004" s="1"/>
      <c r="M2004" s="1" t="s">
        <v>8253</v>
      </c>
      <c r="N2004" s="1" t="s">
        <v>142</v>
      </c>
      <c r="O2004" s="1" t="s">
        <v>143</v>
      </c>
      <c r="P2004" s="2">
        <v>43754.4171875</v>
      </c>
      <c r="Q2004" s="1" t="s">
        <v>373</v>
      </c>
      <c r="R2004" s="1"/>
      <c r="S2004" s="1"/>
      <c r="T2004" s="1">
        <v>5211503.0</v>
      </c>
      <c r="U2004" s="1" t="s">
        <v>8254</v>
      </c>
      <c r="V2004" s="1" t="s">
        <v>375</v>
      </c>
      <c r="W2004" s="1" t="s">
        <v>127</v>
      </c>
      <c r="X2004" s="1"/>
      <c r="Y2004" s="1"/>
      <c r="Z2004" s="1" t="s">
        <v>147</v>
      </c>
      <c r="AA2004" s="1" t="s">
        <v>8255</v>
      </c>
      <c r="AB2004" s="1" t="str">
        <f>"***368981**"</f>
        <v>***368981**</v>
      </c>
      <c r="AC2004" s="1"/>
      <c r="AD2004" s="1" t="s">
        <v>149</v>
      </c>
      <c r="AE2004" s="1"/>
      <c r="AF2004" s="1">
        <v>-49.059444</v>
      </c>
      <c r="AG2004" s="1">
        <v>-18.358055</v>
      </c>
      <c r="AH2004" s="1" t="s">
        <v>8256</v>
      </c>
      <c r="AI2004" s="1"/>
      <c r="AJ2004" s="1" t="s">
        <v>371</v>
      </c>
      <c r="AK2004" s="1"/>
      <c r="AL2004" s="1"/>
      <c r="AM2004" s="1" t="s">
        <v>65</v>
      </c>
      <c r="AN2004" s="1" t="s">
        <v>8257</v>
      </c>
      <c r="AO2004" s="1"/>
      <c r="AP2004" s="2">
        <v>43999.7802199074</v>
      </c>
      <c r="AQ2004" s="1"/>
      <c r="AR2004" s="1" t="s">
        <v>8091</v>
      </c>
      <c r="AS2004" s="1"/>
      <c r="AT2004" s="2">
        <v>44269.931099537</v>
      </c>
    </row>
    <row r="2005" ht="13.5" customHeight="1">
      <c r="A2005" s="1">
        <v>2034706.0</v>
      </c>
      <c r="B2005" s="1" t="s">
        <v>67</v>
      </c>
      <c r="C2005" s="1" t="s">
        <v>68</v>
      </c>
      <c r="D2005" s="1" t="s">
        <v>46</v>
      </c>
      <c r="E2005" s="1" t="s">
        <v>8258</v>
      </c>
      <c r="F2005" s="1"/>
      <c r="G2005" s="1" t="s">
        <v>70</v>
      </c>
      <c r="H2005" s="1" t="s">
        <v>50</v>
      </c>
      <c r="I2005" s="1">
        <v>1500.0</v>
      </c>
      <c r="J2005" s="1"/>
      <c r="K2005" s="1"/>
      <c r="L2005" s="1" t="s">
        <v>64</v>
      </c>
      <c r="M2005" s="1" t="s">
        <v>8259</v>
      </c>
      <c r="N2005" s="1" t="s">
        <v>95</v>
      </c>
      <c r="O2005" s="1" t="s">
        <v>96</v>
      </c>
      <c r="P2005" s="2">
        <v>43754.4166666667</v>
      </c>
      <c r="Q2005" s="1" t="s">
        <v>373</v>
      </c>
      <c r="R2005" s="3">
        <v>43754.0</v>
      </c>
      <c r="S2005" s="1"/>
      <c r="T2005" s="1">
        <v>3532108.0</v>
      </c>
      <c r="U2005" s="1" t="s">
        <v>8260</v>
      </c>
      <c r="V2005" s="1" t="s">
        <v>58</v>
      </c>
      <c r="W2005" s="1" t="s">
        <v>127</v>
      </c>
      <c r="X2005" s="1"/>
      <c r="Y2005" s="1" t="str">
        <f>"02027001195202094"</f>
        <v>02027001195202094</v>
      </c>
      <c r="Z2005" s="1" t="s">
        <v>98</v>
      </c>
      <c r="AA2005" s="1" t="s">
        <v>8261</v>
      </c>
      <c r="AB2005" s="1" t="str">
        <f>"***706798**"</f>
        <v>***706798**</v>
      </c>
      <c r="AC2005" s="1"/>
      <c r="AD2005" s="1"/>
      <c r="AE2005" s="1"/>
      <c r="AF2005" s="1">
        <v>-51.278332</v>
      </c>
      <c r="AG2005" s="1">
        <v>-20.987501</v>
      </c>
      <c r="AH2005" s="1" t="s">
        <v>8262</v>
      </c>
      <c r="AI2005" s="1"/>
      <c r="AJ2005" s="1" t="s">
        <v>64</v>
      </c>
      <c r="AK2005" s="1"/>
      <c r="AL2005" s="1" t="s">
        <v>79</v>
      </c>
      <c r="AM2005" s="1" t="s">
        <v>65</v>
      </c>
      <c r="AN2005" s="1"/>
      <c r="AO2005" s="2">
        <v>43889.0</v>
      </c>
      <c r="AP2005" s="2">
        <v>43889.5915162037</v>
      </c>
      <c r="AQ2005" s="1" t="s">
        <v>80</v>
      </c>
      <c r="AR2005" s="1" t="s">
        <v>81</v>
      </c>
      <c r="AS2005" s="1"/>
      <c r="AT2005" s="2">
        <v>44269.931099537</v>
      </c>
    </row>
    <row r="2006" ht="13.5" customHeight="1">
      <c r="A2006" s="1">
        <v>2039964.0</v>
      </c>
      <c r="B2006" s="1" t="s">
        <v>67</v>
      </c>
      <c r="C2006" s="1" t="s">
        <v>68</v>
      </c>
      <c r="D2006" s="1" t="s">
        <v>46</v>
      </c>
      <c r="E2006" s="1" t="s">
        <v>8263</v>
      </c>
      <c r="F2006" s="1"/>
      <c r="G2006" s="1" t="s">
        <v>70</v>
      </c>
      <c r="H2006" s="1" t="s">
        <v>93</v>
      </c>
      <c r="I2006" s="1">
        <v>245000.0</v>
      </c>
      <c r="J2006" s="1"/>
      <c r="K2006" s="1"/>
      <c r="L2006" s="1" t="s">
        <v>172</v>
      </c>
      <c r="M2006" s="1" t="s">
        <v>8264</v>
      </c>
      <c r="N2006" s="1" t="s">
        <v>142</v>
      </c>
      <c r="O2006" s="1" t="s">
        <v>143</v>
      </c>
      <c r="P2006" s="2">
        <v>43754.4166666667</v>
      </c>
      <c r="Q2006" s="1" t="s">
        <v>373</v>
      </c>
      <c r="R2006" s="3">
        <v>43754.0</v>
      </c>
      <c r="S2006" s="1"/>
      <c r="T2006" s="1">
        <v>5101902.0</v>
      </c>
      <c r="U2006" s="1" t="s">
        <v>7486</v>
      </c>
      <c r="V2006" s="1" t="s">
        <v>164</v>
      </c>
      <c r="W2006" s="1" t="s">
        <v>177</v>
      </c>
      <c r="X2006" s="1"/>
      <c r="Y2006" s="1"/>
      <c r="Z2006" s="1" t="s">
        <v>147</v>
      </c>
      <c r="AA2006" s="1" t="s">
        <v>8265</v>
      </c>
      <c r="AB2006" s="1" t="str">
        <f>"***177961**"</f>
        <v>***177961**</v>
      </c>
      <c r="AC2006" s="1"/>
      <c r="AD2006" s="1"/>
      <c r="AE2006" s="1"/>
      <c r="AF2006" s="1">
        <v>-57.919167</v>
      </c>
      <c r="AG2006" s="1">
        <v>-12.031111</v>
      </c>
      <c r="AH2006" s="1" t="s">
        <v>8266</v>
      </c>
      <c r="AI2006" s="1"/>
      <c r="AJ2006" s="1" t="s">
        <v>172</v>
      </c>
      <c r="AK2006" s="1"/>
      <c r="AL2006" s="1" t="s">
        <v>79</v>
      </c>
      <c r="AM2006" s="1" t="s">
        <v>65</v>
      </c>
      <c r="AN2006" s="1" t="s">
        <v>7489</v>
      </c>
      <c r="AO2006" s="2">
        <v>44078.0</v>
      </c>
      <c r="AP2006" s="2">
        <v>44078.7507291667</v>
      </c>
      <c r="AQ2006" s="1" t="s">
        <v>80</v>
      </c>
      <c r="AR2006" s="1" t="s">
        <v>650</v>
      </c>
      <c r="AS2006" s="1"/>
      <c r="AT2006" s="2">
        <v>44269.931099537</v>
      </c>
    </row>
    <row r="2007" ht="13.5" customHeight="1">
      <c r="A2007" s="1"/>
      <c r="B2007" s="1" t="s">
        <v>46</v>
      </c>
      <c r="C2007" s="1" t="s">
        <v>657</v>
      </c>
      <c r="D2007" s="1" t="s">
        <v>67</v>
      </c>
      <c r="E2007" s="1" t="s">
        <v>8267</v>
      </c>
      <c r="F2007" s="1"/>
      <c r="G2007" s="1" t="s">
        <v>49</v>
      </c>
      <c r="H2007" s="1" t="s">
        <v>50</v>
      </c>
      <c r="I2007" s="1"/>
      <c r="J2007" s="1"/>
      <c r="K2007" s="1"/>
      <c r="L2007" s="1"/>
      <c r="M2007" s="1" t="s">
        <v>8268</v>
      </c>
      <c r="N2007" s="1" t="s">
        <v>142</v>
      </c>
      <c r="O2007" s="1" t="s">
        <v>143</v>
      </c>
      <c r="P2007" s="2">
        <v>43754.4145023148</v>
      </c>
      <c r="Q2007" s="1"/>
      <c r="R2007" s="1"/>
      <c r="S2007" s="1"/>
      <c r="T2007" s="1">
        <v>1200401.0</v>
      </c>
      <c r="U2007" s="1" t="s">
        <v>5366</v>
      </c>
      <c r="V2007" s="1" t="s">
        <v>498</v>
      </c>
      <c r="W2007" s="1" t="s">
        <v>177</v>
      </c>
      <c r="X2007" s="1"/>
      <c r="Y2007" s="1"/>
      <c r="Z2007" s="1" t="s">
        <v>147</v>
      </c>
      <c r="AA2007" s="1" t="s">
        <v>7774</v>
      </c>
      <c r="AB2007" s="1" t="str">
        <f>"***255442**"</f>
        <v>***255442**</v>
      </c>
      <c r="AC2007" s="1"/>
      <c r="AD2007" s="1" t="s">
        <v>2103</v>
      </c>
      <c r="AE2007" s="1"/>
      <c r="AF2007" s="1">
        <v>-68.90667</v>
      </c>
      <c r="AG2007" s="1">
        <v>-10.306944</v>
      </c>
      <c r="AH2007" s="1" t="s">
        <v>8269</v>
      </c>
      <c r="AI2007" s="1"/>
      <c r="AJ2007" s="1" t="s">
        <v>172</v>
      </c>
      <c r="AK2007" s="1"/>
      <c r="AL2007" s="1"/>
      <c r="AM2007" s="1" t="s">
        <v>65</v>
      </c>
      <c r="AN2007" s="1" t="s">
        <v>6258</v>
      </c>
      <c r="AO2007" s="1"/>
      <c r="AP2007" s="2">
        <v>44004.4807175926</v>
      </c>
      <c r="AQ2007" s="1"/>
      <c r="AR2007" s="1" t="s">
        <v>169</v>
      </c>
      <c r="AS2007" s="1"/>
      <c r="AT2007" s="2">
        <v>44269.931099537</v>
      </c>
    </row>
    <row r="2008" ht="13.5" customHeight="1">
      <c r="A2008" s="1"/>
      <c r="B2008" s="1" t="s">
        <v>46</v>
      </c>
      <c r="C2008" s="1" t="s">
        <v>47</v>
      </c>
      <c r="D2008" s="1"/>
      <c r="E2008" s="1" t="s">
        <v>8270</v>
      </c>
      <c r="F2008" s="1"/>
      <c r="G2008" s="1" t="s">
        <v>49</v>
      </c>
      <c r="H2008" s="1" t="s">
        <v>93</v>
      </c>
      <c r="I2008" s="1">
        <v>40000.0</v>
      </c>
      <c r="J2008" s="1"/>
      <c r="K2008" s="1"/>
      <c r="L2008" s="1"/>
      <c r="M2008" s="1" t="s">
        <v>8271</v>
      </c>
      <c r="N2008" s="1" t="s">
        <v>142</v>
      </c>
      <c r="O2008" s="1" t="s">
        <v>143</v>
      </c>
      <c r="P2008" s="2">
        <v>43754.3756365741</v>
      </c>
      <c r="Q2008" s="1" t="s">
        <v>373</v>
      </c>
      <c r="R2008" s="1"/>
      <c r="S2008" s="1"/>
      <c r="T2008" s="1">
        <v>5211503.0</v>
      </c>
      <c r="U2008" s="1" t="s">
        <v>8254</v>
      </c>
      <c r="V2008" s="1" t="s">
        <v>375</v>
      </c>
      <c r="W2008" s="1" t="s">
        <v>127</v>
      </c>
      <c r="X2008" s="1"/>
      <c r="Y2008" s="1"/>
      <c r="Z2008" s="1" t="s">
        <v>147</v>
      </c>
      <c r="AA2008" s="1" t="s">
        <v>8272</v>
      </c>
      <c r="AB2008" s="1" t="str">
        <f>"***324841**"</f>
        <v>***324841**</v>
      </c>
      <c r="AC2008" s="1"/>
      <c r="AD2008" s="1" t="s">
        <v>149</v>
      </c>
      <c r="AE2008" s="1"/>
      <c r="AF2008" s="1">
        <v>-49.054722</v>
      </c>
      <c r="AG2008" s="1">
        <v>-18.343889</v>
      </c>
      <c r="AH2008" s="1" t="s">
        <v>8273</v>
      </c>
      <c r="AI2008" s="1"/>
      <c r="AJ2008" s="1" t="s">
        <v>371</v>
      </c>
      <c r="AK2008" s="1"/>
      <c r="AL2008" s="1"/>
      <c r="AM2008" s="1" t="s">
        <v>65</v>
      </c>
      <c r="AN2008" s="1" t="s">
        <v>8257</v>
      </c>
      <c r="AO2008" s="1"/>
      <c r="AP2008" s="2">
        <v>43999.7803240741</v>
      </c>
      <c r="AQ2008" s="1"/>
      <c r="AR2008" s="1" t="s">
        <v>8091</v>
      </c>
      <c r="AS2008" s="1"/>
      <c r="AT2008" s="2">
        <v>44269.931099537</v>
      </c>
    </row>
    <row r="2009" ht="13.5" customHeight="1">
      <c r="A2009" s="1">
        <v>2037993.0</v>
      </c>
      <c r="B2009" s="1" t="s">
        <v>67</v>
      </c>
      <c r="C2009" s="1" t="s">
        <v>68</v>
      </c>
      <c r="D2009" s="1" t="s">
        <v>46</v>
      </c>
      <c r="E2009" s="1" t="s">
        <v>8274</v>
      </c>
      <c r="F2009" s="1"/>
      <c r="G2009" s="1" t="s">
        <v>70</v>
      </c>
      <c r="H2009" s="1" t="s">
        <v>93</v>
      </c>
      <c r="I2009" s="1">
        <v>1445000.0</v>
      </c>
      <c r="J2009" s="1"/>
      <c r="K2009" s="1"/>
      <c r="L2009" s="1" t="s">
        <v>358</v>
      </c>
      <c r="M2009" s="1" t="s">
        <v>8275</v>
      </c>
      <c r="N2009" s="1" t="s">
        <v>142</v>
      </c>
      <c r="O2009" s="1" t="s">
        <v>143</v>
      </c>
      <c r="P2009" s="2">
        <v>43754.375</v>
      </c>
      <c r="Q2009" s="1" t="s">
        <v>74</v>
      </c>
      <c r="R2009" s="3">
        <v>43767.0</v>
      </c>
      <c r="S2009" s="1"/>
      <c r="T2009" s="1">
        <v>4117602.0</v>
      </c>
      <c r="U2009" s="1" t="s">
        <v>2155</v>
      </c>
      <c r="V2009" s="1" t="s">
        <v>176</v>
      </c>
      <c r="W2009" s="1" t="s">
        <v>59</v>
      </c>
      <c r="X2009" s="1"/>
      <c r="Y2009" s="1"/>
      <c r="Z2009" s="1" t="s">
        <v>147</v>
      </c>
      <c r="AA2009" s="1" t="s">
        <v>8276</v>
      </c>
      <c r="AB2009" s="1" t="str">
        <f>"77911261000198"</f>
        <v>77911261000198</v>
      </c>
      <c r="AC2009" s="1"/>
      <c r="AD2009" s="1"/>
      <c r="AE2009" s="1"/>
      <c r="AF2009" s="1">
        <v>-51.87722</v>
      </c>
      <c r="AG2009" s="1">
        <v>-26.579168</v>
      </c>
      <c r="AH2009" s="1" t="s">
        <v>8277</v>
      </c>
      <c r="AI2009" s="1"/>
      <c r="AJ2009" s="1" t="s">
        <v>358</v>
      </c>
      <c r="AK2009" s="1"/>
      <c r="AL2009" s="1" t="s">
        <v>79</v>
      </c>
      <c r="AM2009" s="1" t="s">
        <v>65</v>
      </c>
      <c r="AN2009" s="1" t="s">
        <v>8176</v>
      </c>
      <c r="AO2009" s="2">
        <v>44018.0</v>
      </c>
      <c r="AP2009" s="2">
        <v>44018.5213888889</v>
      </c>
      <c r="AQ2009" s="1" t="s">
        <v>80</v>
      </c>
      <c r="AR2009" s="1" t="s">
        <v>3494</v>
      </c>
      <c r="AS2009" s="1"/>
      <c r="AT2009" s="2">
        <v>44269.931099537</v>
      </c>
    </row>
    <row r="2010" ht="13.5" customHeight="1">
      <c r="A2010" s="1">
        <v>2040338.0</v>
      </c>
      <c r="B2010" s="1" t="s">
        <v>67</v>
      </c>
      <c r="C2010" s="1" t="s">
        <v>68</v>
      </c>
      <c r="D2010" s="1" t="s">
        <v>46</v>
      </c>
      <c r="E2010" s="1" t="s">
        <v>8278</v>
      </c>
      <c r="F2010" s="1"/>
      <c r="G2010" s="1" t="s">
        <v>70</v>
      </c>
      <c r="H2010" s="1" t="s">
        <v>93</v>
      </c>
      <c r="I2010" s="1">
        <v>38254.0</v>
      </c>
      <c r="J2010" s="1"/>
      <c r="K2010" s="1"/>
      <c r="L2010" s="1" t="s">
        <v>415</v>
      </c>
      <c r="M2010" s="1" t="s">
        <v>8279</v>
      </c>
      <c r="N2010" s="1" t="s">
        <v>142</v>
      </c>
      <c r="O2010" s="1" t="s">
        <v>143</v>
      </c>
      <c r="P2010" s="2">
        <v>43754.3333333333</v>
      </c>
      <c r="Q2010" s="1" t="s">
        <v>373</v>
      </c>
      <c r="R2010" s="3">
        <v>43754.0</v>
      </c>
      <c r="S2010" s="1"/>
      <c r="T2010" s="1">
        <v>1400472.0</v>
      </c>
      <c r="U2010" s="1" t="s">
        <v>574</v>
      </c>
      <c r="V2010" s="1" t="s">
        <v>186</v>
      </c>
      <c r="W2010" s="1" t="s">
        <v>177</v>
      </c>
      <c r="X2010" s="1"/>
      <c r="Y2010" s="1" t="str">
        <f>"02025002235201900"</f>
        <v>02025002235201900</v>
      </c>
      <c r="Z2010" s="1" t="s">
        <v>147</v>
      </c>
      <c r="AA2010" s="1" t="s">
        <v>8198</v>
      </c>
      <c r="AB2010" s="1" t="str">
        <f>"13025100000114"</f>
        <v>13025100000114</v>
      </c>
      <c r="AC2010" s="1"/>
      <c r="AD2010" s="1" t="s">
        <v>116</v>
      </c>
      <c r="AE2010" s="1"/>
      <c r="AF2010" s="1">
        <v>-60.463611</v>
      </c>
      <c r="AG2010" s="1">
        <v>0.594444</v>
      </c>
      <c r="AH2010" s="1" t="s">
        <v>8280</v>
      </c>
      <c r="AI2010" s="1"/>
      <c r="AJ2010" s="1" t="s">
        <v>415</v>
      </c>
      <c r="AK2010" s="1" t="s">
        <v>8281</v>
      </c>
      <c r="AL2010" s="1" t="s">
        <v>79</v>
      </c>
      <c r="AM2010" s="1" t="s">
        <v>65</v>
      </c>
      <c r="AN2010" s="1" t="s">
        <v>7975</v>
      </c>
      <c r="AO2010" s="2">
        <v>44120.0</v>
      </c>
      <c r="AP2010" s="2">
        <v>44120.660625</v>
      </c>
      <c r="AQ2010" s="1" t="s">
        <v>80</v>
      </c>
      <c r="AR2010" s="1" t="s">
        <v>8282</v>
      </c>
      <c r="AS2010" s="1"/>
      <c r="AT2010" s="2">
        <v>44269.931099537</v>
      </c>
    </row>
    <row r="2011" ht="13.5" customHeight="1">
      <c r="A2011" s="1">
        <v>2044140.0</v>
      </c>
      <c r="B2011" s="1" t="s">
        <v>67</v>
      </c>
      <c r="C2011" s="1" t="s">
        <v>68</v>
      </c>
      <c r="D2011" s="1" t="s">
        <v>46</v>
      </c>
      <c r="E2011" s="1" t="s">
        <v>8283</v>
      </c>
      <c r="F2011" s="1"/>
      <c r="G2011" s="1" t="s">
        <v>70</v>
      </c>
      <c r="H2011" s="1" t="s">
        <v>93</v>
      </c>
      <c r="I2011" s="1">
        <v>65000.0</v>
      </c>
      <c r="J2011" s="1"/>
      <c r="K2011" s="1"/>
      <c r="L2011" s="1" t="s">
        <v>172</v>
      </c>
      <c r="M2011" s="1" t="s">
        <v>8284</v>
      </c>
      <c r="N2011" s="1" t="s">
        <v>142</v>
      </c>
      <c r="O2011" s="1" t="s">
        <v>143</v>
      </c>
      <c r="P2011" s="2">
        <v>43754.3333333333</v>
      </c>
      <c r="Q2011" s="1" t="s">
        <v>373</v>
      </c>
      <c r="R2011" s="3">
        <v>43754.0</v>
      </c>
      <c r="S2011" s="1"/>
      <c r="T2011" s="1">
        <v>5105101.0</v>
      </c>
      <c r="U2011" s="1" t="s">
        <v>6647</v>
      </c>
      <c r="V2011" s="1" t="s">
        <v>164</v>
      </c>
      <c r="W2011" s="1" t="s">
        <v>177</v>
      </c>
      <c r="X2011" s="1"/>
      <c r="Y2011" s="1"/>
      <c r="Z2011" s="1" t="s">
        <v>147</v>
      </c>
      <c r="AA2011" s="1" t="s">
        <v>8285</v>
      </c>
      <c r="AB2011" s="1" t="str">
        <f>"***136620**"</f>
        <v>***136620**</v>
      </c>
      <c r="AC2011" s="1"/>
      <c r="AD2011" s="1"/>
      <c r="AE2011" s="1"/>
      <c r="AF2011" s="1">
        <v>-57.579166</v>
      </c>
      <c r="AG2011" s="1">
        <v>-11.965833</v>
      </c>
      <c r="AH2011" s="1" t="s">
        <v>8286</v>
      </c>
      <c r="AI2011" s="1"/>
      <c r="AJ2011" s="1" t="s">
        <v>172</v>
      </c>
      <c r="AK2011" s="1"/>
      <c r="AL2011" s="1" t="s">
        <v>79</v>
      </c>
      <c r="AM2011" s="1" t="s">
        <v>65</v>
      </c>
      <c r="AN2011" s="1" t="s">
        <v>7489</v>
      </c>
      <c r="AO2011" s="2">
        <v>44263.0</v>
      </c>
      <c r="AP2011" s="2">
        <v>44263.778125</v>
      </c>
      <c r="AQ2011" s="1" t="s">
        <v>80</v>
      </c>
      <c r="AR2011" s="1" t="s">
        <v>650</v>
      </c>
      <c r="AS2011" s="1"/>
      <c r="AT2011" s="2">
        <v>44269.931099537</v>
      </c>
    </row>
    <row r="2012" ht="13.5" customHeight="1">
      <c r="A2012" s="1">
        <v>2038359.0</v>
      </c>
      <c r="B2012" s="1" t="s">
        <v>67</v>
      </c>
      <c r="C2012" s="1" t="s">
        <v>68</v>
      </c>
      <c r="D2012" s="1" t="s">
        <v>46</v>
      </c>
      <c r="E2012" s="1" t="s">
        <v>8287</v>
      </c>
      <c r="F2012" s="1"/>
      <c r="G2012" s="1" t="s">
        <v>70</v>
      </c>
      <c r="H2012" s="1" t="s">
        <v>93</v>
      </c>
      <c r="I2012" s="1">
        <v>10000.0</v>
      </c>
      <c r="J2012" s="1"/>
      <c r="K2012" s="1"/>
      <c r="L2012" s="1" t="s">
        <v>371</v>
      </c>
      <c r="M2012" s="1" t="s">
        <v>8288</v>
      </c>
      <c r="N2012" s="1" t="s">
        <v>142</v>
      </c>
      <c r="O2012" s="1" t="s">
        <v>143</v>
      </c>
      <c r="P2012" s="2">
        <v>43754.1666666667</v>
      </c>
      <c r="Q2012" s="1" t="s">
        <v>373</v>
      </c>
      <c r="R2012" s="3">
        <v>43754.0</v>
      </c>
      <c r="S2012" s="1"/>
      <c r="T2012" s="1">
        <v>5211503.0</v>
      </c>
      <c r="U2012" s="1" t="s">
        <v>8254</v>
      </c>
      <c r="V2012" s="1" t="s">
        <v>375</v>
      </c>
      <c r="W2012" s="1" t="s">
        <v>127</v>
      </c>
      <c r="X2012" s="1"/>
      <c r="Y2012" s="1" t="str">
        <f>"02010000399202097"</f>
        <v>02010000399202097</v>
      </c>
      <c r="Z2012" s="1" t="s">
        <v>147</v>
      </c>
      <c r="AA2012" s="1" t="s">
        <v>8289</v>
      </c>
      <c r="AB2012" s="1" t="str">
        <f>"***984581**"</f>
        <v>***984581**</v>
      </c>
      <c r="AC2012" s="1"/>
      <c r="AD2012" s="1" t="s">
        <v>116</v>
      </c>
      <c r="AE2012" s="1"/>
      <c r="AF2012" s="1">
        <v>-49.045833</v>
      </c>
      <c r="AG2012" s="1">
        <v>-18.346667</v>
      </c>
      <c r="AH2012" s="1" t="s">
        <v>8290</v>
      </c>
      <c r="AI2012" s="1"/>
      <c r="AJ2012" s="1" t="s">
        <v>371</v>
      </c>
      <c r="AK2012" s="1"/>
      <c r="AL2012" s="1" t="s">
        <v>118</v>
      </c>
      <c r="AM2012" s="1" t="s">
        <v>65</v>
      </c>
      <c r="AN2012" s="1" t="s">
        <v>8257</v>
      </c>
      <c r="AO2012" s="2">
        <v>44032.0</v>
      </c>
      <c r="AP2012" s="2">
        <v>44221.6222569445</v>
      </c>
      <c r="AQ2012" s="1" t="s">
        <v>80</v>
      </c>
      <c r="AR2012" s="1" t="s">
        <v>2471</v>
      </c>
      <c r="AS2012" s="1"/>
      <c r="AT2012" s="2">
        <v>44269.931099537</v>
      </c>
    </row>
    <row r="2013" ht="13.5" customHeight="1">
      <c r="A2013" s="1"/>
      <c r="B2013" s="1" t="s">
        <v>46</v>
      </c>
      <c r="C2013" s="1" t="s">
        <v>47</v>
      </c>
      <c r="D2013" s="1"/>
      <c r="E2013" s="1" t="s">
        <v>8291</v>
      </c>
      <c r="F2013" s="1"/>
      <c r="G2013" s="1"/>
      <c r="H2013" s="1" t="s">
        <v>93</v>
      </c>
      <c r="I2013" s="1">
        <v>1438.5</v>
      </c>
      <c r="J2013" s="1"/>
      <c r="K2013" s="1"/>
      <c r="L2013" s="1"/>
      <c r="M2013" s="1" t="s">
        <v>8292</v>
      </c>
      <c r="N2013" s="1" t="s">
        <v>142</v>
      </c>
      <c r="O2013" s="1" t="s">
        <v>143</v>
      </c>
      <c r="P2013" s="2">
        <v>43753.8634722222</v>
      </c>
      <c r="Q2013" s="1" t="s">
        <v>373</v>
      </c>
      <c r="R2013" s="1"/>
      <c r="S2013" s="1"/>
      <c r="T2013" s="1">
        <v>1200104.0</v>
      </c>
      <c r="U2013" s="1" t="s">
        <v>4755</v>
      </c>
      <c r="V2013" s="1" t="s">
        <v>498</v>
      </c>
      <c r="W2013" s="1" t="s">
        <v>177</v>
      </c>
      <c r="X2013" s="1"/>
      <c r="Y2013" s="1"/>
      <c r="Z2013" s="1" t="s">
        <v>147</v>
      </c>
      <c r="AA2013" s="1" t="s">
        <v>8293</v>
      </c>
      <c r="AB2013" s="1" t="str">
        <f>"***349232**"</f>
        <v>***349232**</v>
      </c>
      <c r="AC2013" s="1"/>
      <c r="AD2013" s="1" t="s">
        <v>149</v>
      </c>
      <c r="AE2013" s="1"/>
      <c r="AF2013" s="1"/>
      <c r="AG2013" s="1">
        <v>-10.905833</v>
      </c>
      <c r="AH2013" s="1" t="s">
        <v>8294</v>
      </c>
      <c r="AI2013" s="1"/>
      <c r="AJ2013" s="1" t="s">
        <v>172</v>
      </c>
      <c r="AK2013" s="1"/>
      <c r="AL2013" s="1"/>
      <c r="AM2013" s="1" t="s">
        <v>65</v>
      </c>
      <c r="AN2013" s="1" t="s">
        <v>6258</v>
      </c>
      <c r="AO2013" s="1"/>
      <c r="AP2013" s="2">
        <v>43753.8849884259</v>
      </c>
      <c r="AQ2013" s="1"/>
      <c r="AR2013" s="1" t="s">
        <v>280</v>
      </c>
      <c r="AS2013" s="1"/>
      <c r="AT2013" s="2">
        <v>44269.931099537</v>
      </c>
    </row>
    <row r="2014" ht="13.5" customHeight="1">
      <c r="A2014" s="1"/>
      <c r="B2014" s="1" t="s">
        <v>46</v>
      </c>
      <c r="C2014" s="1" t="s">
        <v>47</v>
      </c>
      <c r="D2014" s="1"/>
      <c r="E2014" s="1" t="s">
        <v>8295</v>
      </c>
      <c r="F2014" s="1"/>
      <c r="G2014" s="1" t="s">
        <v>49</v>
      </c>
      <c r="H2014" s="1" t="s">
        <v>93</v>
      </c>
      <c r="I2014" s="1"/>
      <c r="J2014" s="1"/>
      <c r="K2014" s="1"/>
      <c r="L2014" s="1"/>
      <c r="M2014" s="1" t="s">
        <v>8296</v>
      </c>
      <c r="N2014" s="1" t="s">
        <v>977</v>
      </c>
      <c r="O2014" s="1" t="s">
        <v>978</v>
      </c>
      <c r="P2014" s="2">
        <v>43753.8498032408</v>
      </c>
      <c r="Q2014" s="1"/>
      <c r="R2014" s="1"/>
      <c r="S2014" s="1"/>
      <c r="T2014" s="1">
        <v>5103254.0</v>
      </c>
      <c r="U2014" s="1" t="s">
        <v>5275</v>
      </c>
      <c r="V2014" s="1" t="s">
        <v>164</v>
      </c>
      <c r="W2014" s="1" t="s">
        <v>177</v>
      </c>
      <c r="X2014" s="1"/>
      <c r="Y2014" s="1" t="str">
        <f>"02013001584202079"</f>
        <v>02013001584202079</v>
      </c>
      <c r="Z2014" s="1" t="s">
        <v>980</v>
      </c>
      <c r="AA2014" s="1" t="s">
        <v>8157</v>
      </c>
      <c r="AB2014" s="1" t="str">
        <f>"***664142**"</f>
        <v>***664142**</v>
      </c>
      <c r="AC2014" s="1"/>
      <c r="AD2014" s="1" t="s">
        <v>3310</v>
      </c>
      <c r="AE2014" s="1"/>
      <c r="AF2014" s="1">
        <v>-60.796944</v>
      </c>
      <c r="AG2014" s="1">
        <v>-9.322778</v>
      </c>
      <c r="AH2014" s="1" t="s">
        <v>8297</v>
      </c>
      <c r="AI2014" s="1"/>
      <c r="AJ2014" s="1" t="s">
        <v>167</v>
      </c>
      <c r="AK2014" s="1"/>
      <c r="AL2014" s="1"/>
      <c r="AM2014" s="1" t="s">
        <v>65</v>
      </c>
      <c r="AN2014" s="1" t="s">
        <v>132</v>
      </c>
      <c r="AO2014" s="1"/>
      <c r="AP2014" s="2">
        <v>43927.6964467593</v>
      </c>
      <c r="AQ2014" s="1"/>
      <c r="AR2014" s="1" t="s">
        <v>8159</v>
      </c>
      <c r="AS2014" s="1"/>
      <c r="AT2014" s="2">
        <v>44269.931099537</v>
      </c>
    </row>
    <row r="2015" ht="13.5" customHeight="1">
      <c r="A2015" s="1"/>
      <c r="B2015" s="1" t="s">
        <v>46</v>
      </c>
      <c r="C2015" s="1" t="s">
        <v>47</v>
      </c>
      <c r="D2015" s="1"/>
      <c r="E2015" s="1" t="s">
        <v>8298</v>
      </c>
      <c r="F2015" s="1"/>
      <c r="G2015" s="1" t="s">
        <v>49</v>
      </c>
      <c r="H2015" s="1" t="s">
        <v>93</v>
      </c>
      <c r="I2015" s="1">
        <v>75000.0</v>
      </c>
      <c r="J2015" s="1"/>
      <c r="K2015" s="1"/>
      <c r="L2015" s="1"/>
      <c r="M2015" s="1" t="s">
        <v>8299</v>
      </c>
      <c r="N2015" s="1" t="s">
        <v>142</v>
      </c>
      <c r="O2015" s="1" t="s">
        <v>143</v>
      </c>
      <c r="P2015" s="2">
        <v>43753.7868171296</v>
      </c>
      <c r="Q2015" s="1" t="s">
        <v>373</v>
      </c>
      <c r="R2015" s="1"/>
      <c r="S2015" s="1"/>
      <c r="T2015" s="1">
        <v>5211503.0</v>
      </c>
      <c r="U2015" s="1" t="s">
        <v>8254</v>
      </c>
      <c r="V2015" s="1" t="s">
        <v>375</v>
      </c>
      <c r="W2015" s="1" t="s">
        <v>177</v>
      </c>
      <c r="X2015" s="1"/>
      <c r="Y2015" s="1"/>
      <c r="Z2015" s="1" t="s">
        <v>147</v>
      </c>
      <c r="AA2015" s="1" t="s">
        <v>8300</v>
      </c>
      <c r="AB2015" s="1" t="str">
        <f>"***447186**"</f>
        <v>***447186**</v>
      </c>
      <c r="AC2015" s="1"/>
      <c r="AD2015" s="1" t="s">
        <v>149</v>
      </c>
      <c r="AE2015" s="1"/>
      <c r="AF2015" s="1">
        <v>-49.044167</v>
      </c>
      <c r="AG2015" s="1">
        <v>-18.343889</v>
      </c>
      <c r="AH2015" s="1" t="s">
        <v>8301</v>
      </c>
      <c r="AI2015" s="1"/>
      <c r="AJ2015" s="1" t="s">
        <v>371</v>
      </c>
      <c r="AK2015" s="1"/>
      <c r="AL2015" s="1"/>
      <c r="AM2015" s="1" t="s">
        <v>65</v>
      </c>
      <c r="AN2015" s="1" t="s">
        <v>8257</v>
      </c>
      <c r="AO2015" s="1"/>
      <c r="AP2015" s="2">
        <v>43999.7804166667</v>
      </c>
      <c r="AQ2015" s="1"/>
      <c r="AR2015" s="1" t="s">
        <v>8091</v>
      </c>
      <c r="AS2015" s="1"/>
      <c r="AT2015" s="2">
        <v>44269.931099537</v>
      </c>
    </row>
    <row r="2016" ht="13.5" customHeight="1">
      <c r="A2016" s="1"/>
      <c r="B2016" s="1" t="s">
        <v>46</v>
      </c>
      <c r="C2016" s="1" t="s">
        <v>47</v>
      </c>
      <c r="D2016" s="1"/>
      <c r="E2016" s="1" t="s">
        <v>8302</v>
      </c>
      <c r="F2016" s="1"/>
      <c r="G2016" s="1"/>
      <c r="H2016" s="1" t="s">
        <v>93</v>
      </c>
      <c r="I2016" s="1">
        <v>500.0</v>
      </c>
      <c r="J2016" s="1"/>
      <c r="K2016" s="1" t="s">
        <v>51</v>
      </c>
      <c r="L2016" s="1"/>
      <c r="M2016" s="1" t="s">
        <v>8303</v>
      </c>
      <c r="N2016" s="1" t="s">
        <v>95</v>
      </c>
      <c r="O2016" s="1" t="s">
        <v>96</v>
      </c>
      <c r="P2016" s="2">
        <v>43753.7734606482</v>
      </c>
      <c r="Q2016" s="1" t="s">
        <v>74</v>
      </c>
      <c r="R2016" s="3">
        <v>43753.0</v>
      </c>
      <c r="S2016" s="1"/>
      <c r="T2016" s="1">
        <v>5002704.0</v>
      </c>
      <c r="U2016" s="1" t="s">
        <v>8304</v>
      </c>
      <c r="V2016" s="1" t="s">
        <v>529</v>
      </c>
      <c r="W2016" s="1" t="s">
        <v>127</v>
      </c>
      <c r="X2016" s="1"/>
      <c r="Y2016" s="1"/>
      <c r="Z2016" s="1" t="s">
        <v>98</v>
      </c>
      <c r="AA2016" s="1" t="s">
        <v>8305</v>
      </c>
      <c r="AB2016" s="1" t="str">
        <f>"***048831**"</f>
        <v>***048831**</v>
      </c>
      <c r="AC2016" s="1"/>
      <c r="AD2016" s="1" t="s">
        <v>62</v>
      </c>
      <c r="AE2016" s="1"/>
      <c r="AF2016" s="1">
        <v>-54.631111</v>
      </c>
      <c r="AG2016" s="1">
        <v>-20.416945</v>
      </c>
      <c r="AH2016" s="1" t="s">
        <v>8306</v>
      </c>
      <c r="AI2016" s="1"/>
      <c r="AJ2016" s="1" t="s">
        <v>533</v>
      </c>
      <c r="AK2016" s="1"/>
      <c r="AL2016" s="1"/>
      <c r="AM2016" s="1"/>
      <c r="AN2016" s="1" t="s">
        <v>534</v>
      </c>
      <c r="AO2016" s="1"/>
      <c r="AP2016" s="2">
        <v>43753.7865393519</v>
      </c>
      <c r="AQ2016" s="1"/>
      <c r="AR2016" s="1" t="s">
        <v>8307</v>
      </c>
      <c r="AS2016" s="1"/>
      <c r="AT2016" s="2">
        <v>44269.931099537</v>
      </c>
    </row>
    <row r="2017" ht="13.5" customHeight="1">
      <c r="A2017" s="1"/>
      <c r="B2017" s="1" t="s">
        <v>46</v>
      </c>
      <c r="C2017" s="1" t="s">
        <v>47</v>
      </c>
      <c r="D2017" s="1"/>
      <c r="E2017" s="1" t="s">
        <v>8308</v>
      </c>
      <c r="F2017" s="1"/>
      <c r="G2017" s="1" t="s">
        <v>49</v>
      </c>
      <c r="H2017" s="1" t="s">
        <v>93</v>
      </c>
      <c r="I2017" s="1">
        <v>6495000.0</v>
      </c>
      <c r="J2017" s="1"/>
      <c r="K2017" s="1"/>
      <c r="L2017" s="1"/>
      <c r="M2017" s="1" t="s">
        <v>8309</v>
      </c>
      <c r="N2017" s="1" t="s">
        <v>142</v>
      </c>
      <c r="O2017" s="1" t="s">
        <v>143</v>
      </c>
      <c r="P2017" s="2">
        <v>43753.7350347222</v>
      </c>
      <c r="Q2017" s="1" t="s">
        <v>74</v>
      </c>
      <c r="R2017" s="1"/>
      <c r="S2017" s="1"/>
      <c r="T2017" s="1">
        <v>1100338.0</v>
      </c>
      <c r="U2017" s="1" t="s">
        <v>5017</v>
      </c>
      <c r="V2017" s="1" t="s">
        <v>448</v>
      </c>
      <c r="W2017" s="1" t="s">
        <v>177</v>
      </c>
      <c r="X2017" s="1"/>
      <c r="Y2017" s="1"/>
      <c r="Z2017" s="1" t="s">
        <v>147</v>
      </c>
      <c r="AA2017" s="1" t="s">
        <v>8310</v>
      </c>
      <c r="AB2017" s="1" t="str">
        <f t="shared" ref="AB2017:AB2018" si="124">"***146418**"</f>
        <v>***146418**</v>
      </c>
      <c r="AC2017" s="1"/>
      <c r="AD2017" s="1" t="s">
        <v>116</v>
      </c>
      <c r="AE2017" s="1"/>
      <c r="AF2017" s="1">
        <v>-64.389722</v>
      </c>
      <c r="AG2017" s="1">
        <v>-10.221944</v>
      </c>
      <c r="AH2017" s="1" t="s">
        <v>8311</v>
      </c>
      <c r="AI2017" s="1"/>
      <c r="AJ2017" s="1" t="s">
        <v>172</v>
      </c>
      <c r="AK2017" s="1"/>
      <c r="AL2017" s="1"/>
      <c r="AM2017" s="1" t="s">
        <v>65</v>
      </c>
      <c r="AN2017" s="1" t="s">
        <v>6258</v>
      </c>
      <c r="AO2017" s="1"/>
      <c r="AP2017" s="2">
        <v>44260.6215856482</v>
      </c>
      <c r="AQ2017" s="1"/>
      <c r="AR2017" s="1" t="s">
        <v>159</v>
      </c>
      <c r="AS2017" s="1"/>
      <c r="AT2017" s="2">
        <v>44269.931099537</v>
      </c>
    </row>
    <row r="2018" ht="13.5" customHeight="1">
      <c r="A2018" s="1"/>
      <c r="B2018" s="1" t="s">
        <v>46</v>
      </c>
      <c r="C2018" s="1" t="s">
        <v>47</v>
      </c>
      <c r="D2018" s="1"/>
      <c r="E2018" s="1" t="s">
        <v>8312</v>
      </c>
      <c r="F2018" s="1"/>
      <c r="G2018" s="1" t="s">
        <v>49</v>
      </c>
      <c r="H2018" s="1" t="s">
        <v>50</v>
      </c>
      <c r="I2018" s="1">
        <v>220000.0</v>
      </c>
      <c r="J2018" s="1"/>
      <c r="K2018" s="1" t="s">
        <v>140</v>
      </c>
      <c r="L2018" s="1"/>
      <c r="M2018" s="1" t="s">
        <v>8313</v>
      </c>
      <c r="N2018" s="1" t="s">
        <v>123</v>
      </c>
      <c r="O2018" s="1" t="s">
        <v>73</v>
      </c>
      <c r="P2018" s="2">
        <v>43753.7086226852</v>
      </c>
      <c r="Q2018" s="1" t="s">
        <v>74</v>
      </c>
      <c r="R2018" s="1"/>
      <c r="S2018" s="1"/>
      <c r="T2018" s="1">
        <v>1100338.0</v>
      </c>
      <c r="U2018" s="1" t="s">
        <v>5017</v>
      </c>
      <c r="V2018" s="1" t="s">
        <v>448</v>
      </c>
      <c r="W2018" s="1" t="s">
        <v>177</v>
      </c>
      <c r="X2018" s="1"/>
      <c r="Y2018" s="1"/>
      <c r="Z2018" s="1" t="s">
        <v>76</v>
      </c>
      <c r="AA2018" s="1" t="s">
        <v>8310</v>
      </c>
      <c r="AB2018" s="1" t="str">
        <f t="shared" si="124"/>
        <v>***146418**</v>
      </c>
      <c r="AC2018" s="1"/>
      <c r="AD2018" s="1" t="s">
        <v>149</v>
      </c>
      <c r="AE2018" s="1"/>
      <c r="AF2018" s="1">
        <v>-64.389722</v>
      </c>
      <c r="AG2018" s="1">
        <v>-10.221944</v>
      </c>
      <c r="AH2018" s="1" t="s">
        <v>8311</v>
      </c>
      <c r="AI2018" s="1"/>
      <c r="AJ2018" s="1" t="s">
        <v>172</v>
      </c>
      <c r="AK2018" s="1"/>
      <c r="AL2018" s="1"/>
      <c r="AM2018" s="1" t="s">
        <v>65</v>
      </c>
      <c r="AN2018" s="1" t="s">
        <v>6258</v>
      </c>
      <c r="AO2018" s="1"/>
      <c r="AP2018" s="2">
        <v>44260.6217939815</v>
      </c>
      <c r="AQ2018" s="1"/>
      <c r="AR2018" s="1" t="s">
        <v>793</v>
      </c>
      <c r="AS2018" s="1"/>
      <c r="AT2018" s="2">
        <v>44269.931099537</v>
      </c>
    </row>
    <row r="2019" ht="13.5" customHeight="1">
      <c r="A2019" s="1">
        <v>2044028.0</v>
      </c>
      <c r="B2019" s="1" t="s">
        <v>67</v>
      </c>
      <c r="C2019" s="1" t="s">
        <v>68</v>
      </c>
      <c r="D2019" s="1" t="s">
        <v>46</v>
      </c>
      <c r="E2019" s="1" t="s">
        <v>8314</v>
      </c>
      <c r="F2019" s="1"/>
      <c r="G2019" s="1" t="s">
        <v>70</v>
      </c>
      <c r="H2019" s="1" t="s">
        <v>50</v>
      </c>
      <c r="I2019" s="1">
        <v>500.0</v>
      </c>
      <c r="J2019" s="1"/>
      <c r="K2019" s="1"/>
      <c r="L2019" s="1" t="s">
        <v>533</v>
      </c>
      <c r="M2019" s="1" t="s">
        <v>8315</v>
      </c>
      <c r="N2019" s="1" t="s">
        <v>95</v>
      </c>
      <c r="O2019" s="1" t="s">
        <v>96</v>
      </c>
      <c r="P2019" s="2">
        <v>43753.5833333333</v>
      </c>
      <c r="Q2019" s="1" t="s">
        <v>74</v>
      </c>
      <c r="R2019" s="3">
        <v>43753.0</v>
      </c>
      <c r="S2019" s="1"/>
      <c r="T2019" s="1">
        <v>3543808.0</v>
      </c>
      <c r="U2019" s="1" t="s">
        <v>8316</v>
      </c>
      <c r="V2019" s="1" t="s">
        <v>58</v>
      </c>
      <c r="W2019" s="1" t="s">
        <v>127</v>
      </c>
      <c r="X2019" s="1"/>
      <c r="Y2019" s="1"/>
      <c r="Z2019" s="1" t="s">
        <v>98</v>
      </c>
      <c r="AA2019" s="1" t="s">
        <v>8317</v>
      </c>
      <c r="AB2019" s="1" t="str">
        <f>"***093091**"</f>
        <v>***093091**</v>
      </c>
      <c r="AC2019" s="1"/>
      <c r="AD2019" s="1"/>
      <c r="AE2019" s="1"/>
      <c r="AF2019" s="1">
        <v>-50.721111</v>
      </c>
      <c r="AG2019" s="1">
        <v>-21.725</v>
      </c>
      <c r="AH2019" s="1" t="s">
        <v>8318</v>
      </c>
      <c r="AI2019" s="1"/>
      <c r="AJ2019" s="1" t="s">
        <v>533</v>
      </c>
      <c r="AK2019" s="1"/>
      <c r="AL2019" s="1" t="s">
        <v>79</v>
      </c>
      <c r="AM2019" s="1" t="s">
        <v>65</v>
      </c>
      <c r="AN2019" s="1" t="s">
        <v>534</v>
      </c>
      <c r="AO2019" s="2">
        <v>44259.0</v>
      </c>
      <c r="AP2019" s="2">
        <v>44259.5884606482</v>
      </c>
      <c r="AQ2019" s="1" t="s">
        <v>80</v>
      </c>
      <c r="AR2019" s="1" t="s">
        <v>593</v>
      </c>
      <c r="AS2019" s="1"/>
      <c r="AT2019" s="2">
        <v>44269.931099537</v>
      </c>
    </row>
    <row r="2020" ht="13.5" customHeight="1">
      <c r="A2020" s="1"/>
      <c r="B2020" s="1" t="s">
        <v>46</v>
      </c>
      <c r="C2020" s="1" t="s">
        <v>47</v>
      </c>
      <c r="D2020" s="1"/>
      <c r="E2020" s="1" t="s">
        <v>8319</v>
      </c>
      <c r="F2020" s="1"/>
      <c r="G2020" s="1"/>
      <c r="H2020" s="1" t="s">
        <v>93</v>
      </c>
      <c r="I2020" s="1">
        <v>165000.0</v>
      </c>
      <c r="J2020" s="1"/>
      <c r="K2020" s="1"/>
      <c r="L2020" s="1"/>
      <c r="M2020" s="1" t="s">
        <v>8320</v>
      </c>
      <c r="N2020" s="1" t="s">
        <v>142</v>
      </c>
      <c r="O2020" s="1" t="s">
        <v>143</v>
      </c>
      <c r="P2020" s="2">
        <v>43753.578275463</v>
      </c>
      <c r="Q2020" s="1" t="s">
        <v>373</v>
      </c>
      <c r="R2020" s="1"/>
      <c r="S2020" s="1"/>
      <c r="T2020" s="1">
        <v>1300904.0</v>
      </c>
      <c r="U2020" s="1" t="s">
        <v>8321</v>
      </c>
      <c r="V2020" s="1" t="s">
        <v>486</v>
      </c>
      <c r="W2020" s="1" t="s">
        <v>177</v>
      </c>
      <c r="X2020" s="1"/>
      <c r="Y2020" s="1"/>
      <c r="Z2020" s="1" t="s">
        <v>147</v>
      </c>
      <c r="AA2020" s="1" t="s">
        <v>8322</v>
      </c>
      <c r="AB2020" s="1" t="str">
        <f>"***207478**"</f>
        <v>***207478**</v>
      </c>
      <c r="AC2020" s="1"/>
      <c r="AD2020" s="1" t="s">
        <v>116</v>
      </c>
      <c r="AE2020" s="1"/>
      <c r="AF2020" s="1">
        <v>-64.676109</v>
      </c>
      <c r="AG2020" s="1">
        <v>-7.495277</v>
      </c>
      <c r="AH2020" s="1" t="s">
        <v>8323</v>
      </c>
      <c r="AI2020" s="1"/>
      <c r="AJ2020" s="1" t="s">
        <v>172</v>
      </c>
      <c r="AK2020" s="1"/>
      <c r="AL2020" s="1"/>
      <c r="AM2020" s="1"/>
      <c r="AN2020" s="1" t="s">
        <v>7331</v>
      </c>
      <c r="AO2020" s="1"/>
      <c r="AP2020" s="2">
        <v>43753.5969328704</v>
      </c>
      <c r="AQ2020" s="1"/>
      <c r="AR2020" s="1" t="s">
        <v>3478</v>
      </c>
      <c r="AS2020" s="1"/>
      <c r="AT2020" s="2">
        <v>44269.931099537</v>
      </c>
    </row>
    <row r="2021" ht="13.5" customHeight="1">
      <c r="A2021" s="1"/>
      <c r="B2021" s="1" t="s">
        <v>46</v>
      </c>
      <c r="C2021" s="1" t="s">
        <v>47</v>
      </c>
      <c r="D2021" s="1"/>
      <c r="E2021" s="1" t="s">
        <v>8324</v>
      </c>
      <c r="F2021" s="1"/>
      <c r="G2021" s="1"/>
      <c r="H2021" s="1" t="s">
        <v>50</v>
      </c>
      <c r="I2021" s="1">
        <v>1500.0</v>
      </c>
      <c r="J2021" s="1"/>
      <c r="K2021" s="1" t="s">
        <v>51</v>
      </c>
      <c r="L2021" s="1"/>
      <c r="M2021" s="1" t="s">
        <v>8325</v>
      </c>
      <c r="N2021" s="1" t="s">
        <v>108</v>
      </c>
      <c r="O2021" s="1" t="s">
        <v>109</v>
      </c>
      <c r="P2021" s="2">
        <v>43753.5741203704</v>
      </c>
      <c r="Q2021" s="1" t="s">
        <v>74</v>
      </c>
      <c r="R2021" s="1"/>
      <c r="S2021" s="1"/>
      <c r="T2021" s="1">
        <v>1501709.0</v>
      </c>
      <c r="U2021" s="1" t="s">
        <v>8326</v>
      </c>
      <c r="V2021" s="1" t="s">
        <v>193</v>
      </c>
      <c r="W2021" s="1" t="s">
        <v>177</v>
      </c>
      <c r="X2021" s="1"/>
      <c r="Y2021" s="1"/>
      <c r="Z2021" s="1" t="s">
        <v>226</v>
      </c>
      <c r="AA2021" s="1" t="s">
        <v>8327</v>
      </c>
      <c r="AB2021" s="1" t="str">
        <f>"22691410000169"</f>
        <v>22691410000169</v>
      </c>
      <c r="AC2021" s="1"/>
      <c r="AD2021" s="1" t="s">
        <v>62</v>
      </c>
      <c r="AE2021" s="1"/>
      <c r="AF2021" s="1">
        <v>-6.766389</v>
      </c>
      <c r="AG2021" s="1">
        <v>-1.055</v>
      </c>
      <c r="AH2021" s="1" t="s">
        <v>8328</v>
      </c>
      <c r="AI2021" s="1"/>
      <c r="AJ2021" s="1" t="s">
        <v>1172</v>
      </c>
      <c r="AK2021" s="1"/>
      <c r="AL2021" s="1"/>
      <c r="AM2021" s="1"/>
      <c r="AN2021" s="1"/>
      <c r="AO2021" s="1"/>
      <c r="AP2021" s="2">
        <v>43753.7269212963</v>
      </c>
      <c r="AQ2021" s="1"/>
      <c r="AR2021" s="1" t="s">
        <v>899</v>
      </c>
      <c r="AS2021" s="1"/>
      <c r="AT2021" s="2">
        <v>44269.931099537</v>
      </c>
    </row>
    <row r="2022" ht="13.5" customHeight="1">
      <c r="A2022" s="1"/>
      <c r="B2022" s="1" t="s">
        <v>46</v>
      </c>
      <c r="C2022" s="1" t="s">
        <v>47</v>
      </c>
      <c r="D2022" s="1"/>
      <c r="E2022" s="1" t="s">
        <v>8329</v>
      </c>
      <c r="F2022" s="1"/>
      <c r="G2022" s="1"/>
      <c r="H2022" s="1" t="s">
        <v>93</v>
      </c>
      <c r="I2022" s="1">
        <v>1500.0</v>
      </c>
      <c r="J2022" s="1"/>
      <c r="K2022" s="1" t="s">
        <v>140</v>
      </c>
      <c r="L2022" s="1"/>
      <c r="M2022" s="1" t="s">
        <v>8330</v>
      </c>
      <c r="N2022" s="1" t="s">
        <v>123</v>
      </c>
      <c r="O2022" s="1" t="s">
        <v>73</v>
      </c>
      <c r="P2022" s="2">
        <v>43753.5669328704</v>
      </c>
      <c r="Q2022" s="1" t="s">
        <v>74</v>
      </c>
      <c r="R2022" s="1"/>
      <c r="S2022" s="1"/>
      <c r="T2022" s="1">
        <v>2611606.0</v>
      </c>
      <c r="U2022" s="1" t="s">
        <v>4246</v>
      </c>
      <c r="V2022" s="1" t="s">
        <v>1037</v>
      </c>
      <c r="W2022" s="1" t="s">
        <v>59</v>
      </c>
      <c r="X2022" s="1"/>
      <c r="Y2022" s="1"/>
      <c r="Z2022" s="1" t="s">
        <v>76</v>
      </c>
      <c r="AA2022" s="1" t="s">
        <v>8331</v>
      </c>
      <c r="AB2022" s="1" t="str">
        <f>"12228401000182"</f>
        <v>12228401000182</v>
      </c>
      <c r="AC2022" s="1"/>
      <c r="AD2022" s="1" t="s">
        <v>62</v>
      </c>
      <c r="AE2022" s="1"/>
      <c r="AF2022" s="1">
        <v>-34.925835</v>
      </c>
      <c r="AG2022" s="1">
        <v>-8.113334</v>
      </c>
      <c r="AH2022" s="1" t="s">
        <v>8332</v>
      </c>
      <c r="AI2022" s="1"/>
      <c r="AJ2022" s="1" t="s">
        <v>1040</v>
      </c>
      <c r="AK2022" s="1"/>
      <c r="AL2022" s="1"/>
      <c r="AM2022" s="1"/>
      <c r="AN2022" s="1" t="s">
        <v>1041</v>
      </c>
      <c r="AO2022" s="1"/>
      <c r="AP2022" s="2">
        <v>43753.6192013889</v>
      </c>
      <c r="AQ2022" s="1"/>
      <c r="AR2022" s="1" t="s">
        <v>153</v>
      </c>
      <c r="AS2022" s="1"/>
      <c r="AT2022" s="2">
        <v>44269.931099537</v>
      </c>
    </row>
    <row r="2023" ht="13.5" customHeight="1">
      <c r="A2023" s="1"/>
      <c r="B2023" s="1" t="s">
        <v>46</v>
      </c>
      <c r="C2023" s="1" t="s">
        <v>47</v>
      </c>
      <c r="D2023" s="1"/>
      <c r="E2023" s="1" t="s">
        <v>8333</v>
      </c>
      <c r="F2023" s="1"/>
      <c r="G2023" s="1"/>
      <c r="H2023" s="1" t="s">
        <v>93</v>
      </c>
      <c r="I2023" s="1">
        <v>382250.0</v>
      </c>
      <c r="J2023" s="1"/>
      <c r="K2023" s="1"/>
      <c r="L2023" s="1"/>
      <c r="M2023" s="1" t="s">
        <v>8334</v>
      </c>
      <c r="N2023" s="1" t="s">
        <v>142</v>
      </c>
      <c r="O2023" s="1" t="s">
        <v>143</v>
      </c>
      <c r="P2023" s="2">
        <v>43753.5586342593</v>
      </c>
      <c r="Q2023" s="1" t="s">
        <v>74</v>
      </c>
      <c r="R2023" s="3">
        <v>43754.0</v>
      </c>
      <c r="S2023" s="1"/>
      <c r="T2023" s="1">
        <v>5106828.0</v>
      </c>
      <c r="U2023" s="1" t="s">
        <v>163</v>
      </c>
      <c r="V2023" s="1" t="s">
        <v>164</v>
      </c>
      <c r="W2023" s="1" t="s">
        <v>177</v>
      </c>
      <c r="X2023" s="1"/>
      <c r="Y2023" s="1"/>
      <c r="Z2023" s="1" t="s">
        <v>147</v>
      </c>
      <c r="AA2023" s="1" t="s">
        <v>165</v>
      </c>
      <c r="AB2023" s="1" t="str">
        <f>"***502781**"</f>
        <v>***502781**</v>
      </c>
      <c r="AC2023" s="1"/>
      <c r="AD2023" s="1" t="s">
        <v>116</v>
      </c>
      <c r="AE2023" s="1"/>
      <c r="AF2023" s="1">
        <v>-59.469444</v>
      </c>
      <c r="AG2023" s="1">
        <v>-16.182777</v>
      </c>
      <c r="AH2023" s="1" t="s">
        <v>8335</v>
      </c>
      <c r="AI2023" s="1"/>
      <c r="AJ2023" s="1" t="s">
        <v>167</v>
      </c>
      <c r="AK2023" s="1"/>
      <c r="AL2023" s="1"/>
      <c r="AM2023" s="1" t="s">
        <v>65</v>
      </c>
      <c r="AN2023" s="1" t="s">
        <v>132</v>
      </c>
      <c r="AO2023" s="1"/>
      <c r="AP2023" s="2">
        <v>43754.3269791667</v>
      </c>
      <c r="AQ2023" s="1"/>
      <c r="AR2023" s="1" t="s">
        <v>1794</v>
      </c>
      <c r="AS2023" s="1"/>
      <c r="AT2023" s="2">
        <v>44269.931099537</v>
      </c>
    </row>
    <row r="2024" ht="13.5" customHeight="1">
      <c r="A2024" s="1"/>
      <c r="B2024" s="1" t="s">
        <v>46</v>
      </c>
      <c r="C2024" s="1" t="s">
        <v>47</v>
      </c>
      <c r="D2024" s="1"/>
      <c r="E2024" s="1" t="s">
        <v>8336</v>
      </c>
      <c r="F2024" s="1"/>
      <c r="G2024" s="1"/>
      <c r="H2024" s="1" t="s">
        <v>50</v>
      </c>
      <c r="I2024" s="1">
        <v>9600.0</v>
      </c>
      <c r="J2024" s="1"/>
      <c r="K2024" s="1" t="s">
        <v>140</v>
      </c>
      <c r="L2024" s="1"/>
      <c r="M2024" s="1" t="s">
        <v>8337</v>
      </c>
      <c r="N2024" s="1" t="s">
        <v>95</v>
      </c>
      <c r="O2024" s="1" t="s">
        <v>96</v>
      </c>
      <c r="P2024" s="2">
        <v>43753.5047916667</v>
      </c>
      <c r="Q2024" s="1" t="s">
        <v>74</v>
      </c>
      <c r="R2024" s="3">
        <v>43766.0</v>
      </c>
      <c r="S2024" s="1"/>
      <c r="T2024" s="1">
        <v>3143302.0</v>
      </c>
      <c r="U2024" s="1" t="s">
        <v>8338</v>
      </c>
      <c r="V2024" s="1" t="s">
        <v>126</v>
      </c>
      <c r="W2024" s="1" t="s">
        <v>127</v>
      </c>
      <c r="X2024" s="1"/>
      <c r="Y2024" s="1"/>
      <c r="Z2024" s="1" t="s">
        <v>98</v>
      </c>
      <c r="AA2024" s="1" t="s">
        <v>8339</v>
      </c>
      <c r="AB2024" s="1" t="str">
        <f>"***493165**"</f>
        <v>***493165**</v>
      </c>
      <c r="AC2024" s="1"/>
      <c r="AD2024" s="1" t="s">
        <v>62</v>
      </c>
      <c r="AE2024" s="1"/>
      <c r="AF2024" s="1">
        <v>-43.862778</v>
      </c>
      <c r="AG2024" s="1">
        <v>-16.707779</v>
      </c>
      <c r="AH2024" s="1" t="s">
        <v>8340</v>
      </c>
      <c r="AI2024" s="1"/>
      <c r="AJ2024" s="1" t="s">
        <v>587</v>
      </c>
      <c r="AK2024" s="1"/>
      <c r="AL2024" s="1"/>
      <c r="AM2024" s="1"/>
      <c r="AN2024" s="1" t="s">
        <v>592</v>
      </c>
      <c r="AO2024" s="1"/>
      <c r="AP2024" s="2">
        <v>43753.5920138889</v>
      </c>
      <c r="AQ2024" s="1"/>
      <c r="AR2024" s="1" t="s">
        <v>822</v>
      </c>
      <c r="AS2024" s="1"/>
      <c r="AT2024" s="2">
        <v>44269.931099537</v>
      </c>
    </row>
    <row r="2025" ht="13.5" customHeight="1">
      <c r="A2025" s="1">
        <v>2037725.0</v>
      </c>
      <c r="B2025" s="1" t="s">
        <v>67</v>
      </c>
      <c r="C2025" s="1" t="s">
        <v>68</v>
      </c>
      <c r="D2025" s="1" t="s">
        <v>46</v>
      </c>
      <c r="E2025" s="1" t="s">
        <v>8341</v>
      </c>
      <c r="F2025" s="1"/>
      <c r="G2025" s="1" t="s">
        <v>70</v>
      </c>
      <c r="H2025" s="1" t="s">
        <v>93</v>
      </c>
      <c r="I2025" s="1">
        <v>1292.04</v>
      </c>
      <c r="J2025" s="1"/>
      <c r="K2025" s="1"/>
      <c r="L2025" s="1" t="s">
        <v>172</v>
      </c>
      <c r="M2025" s="1" t="s">
        <v>8342</v>
      </c>
      <c r="N2025" s="1" t="s">
        <v>142</v>
      </c>
      <c r="O2025" s="1" t="s">
        <v>143</v>
      </c>
      <c r="P2025" s="2">
        <v>43753.4583333333</v>
      </c>
      <c r="Q2025" s="1" t="s">
        <v>373</v>
      </c>
      <c r="R2025" s="3">
        <v>43753.0</v>
      </c>
      <c r="S2025" s="1"/>
      <c r="T2025" s="1">
        <v>1200104.0</v>
      </c>
      <c r="U2025" s="1" t="s">
        <v>4755</v>
      </c>
      <c r="V2025" s="1" t="s">
        <v>498</v>
      </c>
      <c r="W2025" s="1" t="s">
        <v>177</v>
      </c>
      <c r="X2025" s="1"/>
      <c r="Y2025" s="1" t="str">
        <f>"02001003641202093"</f>
        <v>02001003641202093</v>
      </c>
      <c r="Z2025" s="1" t="s">
        <v>147</v>
      </c>
      <c r="AA2025" s="1" t="s">
        <v>8343</v>
      </c>
      <c r="AB2025" s="1" t="str">
        <f>"***369572**"</f>
        <v>***369572**</v>
      </c>
      <c r="AC2025" s="1"/>
      <c r="AD2025" s="1"/>
      <c r="AE2025" s="1"/>
      <c r="AF2025" s="1">
        <v>-68.978615</v>
      </c>
      <c r="AG2025" s="1">
        <v>-10.943889</v>
      </c>
      <c r="AH2025" s="1" t="s">
        <v>8344</v>
      </c>
      <c r="AI2025" s="1"/>
      <c r="AJ2025" s="1" t="s">
        <v>172</v>
      </c>
      <c r="AK2025" s="1"/>
      <c r="AL2025" s="1" t="s">
        <v>79</v>
      </c>
      <c r="AM2025" s="1" t="s">
        <v>65</v>
      </c>
      <c r="AN2025" s="1" t="s">
        <v>6258</v>
      </c>
      <c r="AO2025" s="2">
        <v>44008.0</v>
      </c>
      <c r="AP2025" s="2">
        <v>44008.4317708333</v>
      </c>
      <c r="AQ2025" s="1" t="s">
        <v>80</v>
      </c>
      <c r="AR2025" s="1" t="s">
        <v>181</v>
      </c>
      <c r="AS2025" s="1"/>
      <c r="AT2025" s="2">
        <v>44269.931099537</v>
      </c>
    </row>
    <row r="2026" ht="13.5" customHeight="1">
      <c r="A2026" s="1">
        <v>2034908.0</v>
      </c>
      <c r="B2026" s="1" t="s">
        <v>67</v>
      </c>
      <c r="C2026" s="1" t="s">
        <v>68</v>
      </c>
      <c r="D2026" s="1" t="s">
        <v>46</v>
      </c>
      <c r="E2026" s="1" t="s">
        <v>8345</v>
      </c>
      <c r="F2026" s="1"/>
      <c r="G2026" s="1" t="s">
        <v>70</v>
      </c>
      <c r="H2026" s="1" t="s">
        <v>93</v>
      </c>
      <c r="I2026" s="1">
        <v>90000.0</v>
      </c>
      <c r="J2026" s="1"/>
      <c r="K2026" s="1"/>
      <c r="L2026" s="1" t="s">
        <v>172</v>
      </c>
      <c r="M2026" s="1" t="s">
        <v>8346</v>
      </c>
      <c r="N2026" s="1" t="s">
        <v>142</v>
      </c>
      <c r="O2026" s="1" t="s">
        <v>143</v>
      </c>
      <c r="P2026" s="2">
        <v>43753.375</v>
      </c>
      <c r="Q2026" s="1" t="s">
        <v>373</v>
      </c>
      <c r="R2026" s="3">
        <v>43753.0</v>
      </c>
      <c r="S2026" s="1"/>
      <c r="T2026" s="1">
        <v>1300904.0</v>
      </c>
      <c r="U2026" s="1" t="s">
        <v>8321</v>
      </c>
      <c r="V2026" s="1" t="s">
        <v>486</v>
      </c>
      <c r="W2026" s="1" t="s">
        <v>177</v>
      </c>
      <c r="X2026" s="1"/>
      <c r="Y2026" s="1" t="str">
        <f>"02001003049202091"</f>
        <v>02001003049202091</v>
      </c>
      <c r="Z2026" s="1" t="s">
        <v>147</v>
      </c>
      <c r="AA2026" s="1" t="s">
        <v>8347</v>
      </c>
      <c r="AB2026" s="1" t="str">
        <f>"***733642**"</f>
        <v>***733642**</v>
      </c>
      <c r="AC2026" s="1"/>
      <c r="AD2026" s="1"/>
      <c r="AE2026" s="1"/>
      <c r="AF2026" s="1">
        <v>-63.561943</v>
      </c>
      <c r="AG2026" s="1">
        <v>-7.486944</v>
      </c>
      <c r="AH2026" s="1" t="s">
        <v>8348</v>
      </c>
      <c r="AI2026" s="1"/>
      <c r="AJ2026" s="1" t="s">
        <v>172</v>
      </c>
      <c r="AK2026" s="1"/>
      <c r="AL2026" s="1" t="s">
        <v>79</v>
      </c>
      <c r="AM2026" s="1" t="s">
        <v>65</v>
      </c>
      <c r="AN2026" s="1" t="s">
        <v>7331</v>
      </c>
      <c r="AO2026" s="2">
        <v>43892.0</v>
      </c>
      <c r="AP2026" s="2">
        <v>43892.7016203704</v>
      </c>
      <c r="AQ2026" s="1" t="s">
        <v>80</v>
      </c>
      <c r="AR2026" s="1" t="s">
        <v>451</v>
      </c>
      <c r="AS2026" s="1"/>
      <c r="AT2026" s="2">
        <v>44269.931099537</v>
      </c>
    </row>
    <row r="2027" ht="13.5" customHeight="1">
      <c r="A2027" s="1"/>
      <c r="B2027" s="1" t="s">
        <v>46</v>
      </c>
      <c r="C2027" s="1" t="s">
        <v>47</v>
      </c>
      <c r="D2027" s="1"/>
      <c r="E2027" s="1" t="s">
        <v>8349</v>
      </c>
      <c r="F2027" s="1"/>
      <c r="G2027" s="1"/>
      <c r="H2027" s="1" t="s">
        <v>93</v>
      </c>
      <c r="I2027" s="1">
        <v>17853.0</v>
      </c>
      <c r="J2027" s="1"/>
      <c r="K2027" s="1"/>
      <c r="L2027" s="1"/>
      <c r="M2027" s="1" t="s">
        <v>8350</v>
      </c>
      <c r="N2027" s="1" t="s">
        <v>142</v>
      </c>
      <c r="O2027" s="1" t="s">
        <v>143</v>
      </c>
      <c r="P2027" s="2">
        <v>43753.3229282407</v>
      </c>
      <c r="Q2027" s="1" t="s">
        <v>74</v>
      </c>
      <c r="R2027" s="3">
        <v>43753.0</v>
      </c>
      <c r="S2027" s="1"/>
      <c r="T2027" s="1">
        <v>5101902.0</v>
      </c>
      <c r="U2027" s="1" t="s">
        <v>7486</v>
      </c>
      <c r="V2027" s="1" t="s">
        <v>164</v>
      </c>
      <c r="W2027" s="1" t="s">
        <v>177</v>
      </c>
      <c r="X2027" s="1"/>
      <c r="Y2027" s="1"/>
      <c r="Z2027" s="1" t="s">
        <v>147</v>
      </c>
      <c r="AA2027" s="1" t="s">
        <v>8351</v>
      </c>
      <c r="AB2027" s="1" t="str">
        <f>"12393193000258"</f>
        <v>12393193000258</v>
      </c>
      <c r="AC2027" s="1"/>
      <c r="AD2027" s="1" t="s">
        <v>149</v>
      </c>
      <c r="AE2027" s="1"/>
      <c r="AF2027" s="1">
        <v>-58.214169</v>
      </c>
      <c r="AG2027" s="1">
        <v>-12.498055</v>
      </c>
      <c r="AH2027" s="1" t="s">
        <v>8351</v>
      </c>
      <c r="AI2027" s="1"/>
      <c r="AJ2027" s="1" t="s">
        <v>167</v>
      </c>
      <c r="AK2027" s="1"/>
      <c r="AL2027" s="1"/>
      <c r="AM2027" s="1" t="s">
        <v>65</v>
      </c>
      <c r="AN2027" s="1" t="s">
        <v>132</v>
      </c>
      <c r="AO2027" s="1"/>
      <c r="AP2027" s="2">
        <v>43753.3896643518</v>
      </c>
      <c r="AQ2027" s="1"/>
      <c r="AR2027" s="1" t="s">
        <v>613</v>
      </c>
      <c r="AS2027" s="1"/>
      <c r="AT2027" s="2">
        <v>44269.931099537</v>
      </c>
    </row>
    <row r="2028" ht="13.5" customHeight="1">
      <c r="A2028" s="1"/>
      <c r="B2028" s="1" t="s">
        <v>46</v>
      </c>
      <c r="C2028" s="1" t="s">
        <v>47</v>
      </c>
      <c r="D2028" s="1"/>
      <c r="E2028" s="1" t="s">
        <v>8352</v>
      </c>
      <c r="F2028" s="1"/>
      <c r="G2028" s="1" t="s">
        <v>49</v>
      </c>
      <c r="H2028" s="1" t="s">
        <v>50</v>
      </c>
      <c r="I2028" s="1">
        <v>150000.0</v>
      </c>
      <c r="J2028" s="1"/>
      <c r="K2028" s="1" t="s">
        <v>140</v>
      </c>
      <c r="L2028" s="1"/>
      <c r="M2028" s="1" t="s">
        <v>8353</v>
      </c>
      <c r="N2028" s="1" t="s">
        <v>4634</v>
      </c>
      <c r="O2028" s="1" t="s">
        <v>4635</v>
      </c>
      <c r="P2028" s="2">
        <v>43752.8002777778</v>
      </c>
      <c r="Q2028" s="1" t="s">
        <v>74</v>
      </c>
      <c r="R2028" s="1"/>
      <c r="S2028" s="1"/>
      <c r="T2028" s="1">
        <v>1506195.0</v>
      </c>
      <c r="U2028" s="1" t="s">
        <v>7907</v>
      </c>
      <c r="V2028" s="1" t="s">
        <v>193</v>
      </c>
      <c r="W2028" s="1" t="s">
        <v>177</v>
      </c>
      <c r="X2028" s="1"/>
      <c r="Y2028" s="1" t="str">
        <f>"02001018747202091"</f>
        <v>02001018747202091</v>
      </c>
      <c r="Z2028" s="1" t="s">
        <v>4636</v>
      </c>
      <c r="AA2028" s="1" t="s">
        <v>8354</v>
      </c>
      <c r="AB2028" s="1" t="str">
        <f>"***025272**"</f>
        <v>***025272**</v>
      </c>
      <c r="AC2028" s="1"/>
      <c r="AD2028" s="1" t="s">
        <v>62</v>
      </c>
      <c r="AE2028" s="1"/>
      <c r="AF2028" s="1"/>
      <c r="AG2028" s="1"/>
      <c r="AH2028" s="1" t="s">
        <v>8228</v>
      </c>
      <c r="AI2028" s="1"/>
      <c r="AJ2028" s="1" t="s">
        <v>172</v>
      </c>
      <c r="AK2028" s="1"/>
      <c r="AL2028" s="1"/>
      <c r="AM2028" s="1" t="s">
        <v>65</v>
      </c>
      <c r="AN2028" s="1" t="s">
        <v>6258</v>
      </c>
      <c r="AO2028" s="1"/>
      <c r="AP2028" s="2">
        <v>44056.9160300926</v>
      </c>
      <c r="AQ2028" s="1"/>
      <c r="AR2028" s="1" t="s">
        <v>793</v>
      </c>
      <c r="AS2028" s="1"/>
      <c r="AT2028" s="2">
        <v>44269.931099537</v>
      </c>
    </row>
    <row r="2029" ht="13.5" customHeight="1">
      <c r="A2029" s="1">
        <v>2038853.0</v>
      </c>
      <c r="B2029" s="1" t="s">
        <v>67</v>
      </c>
      <c r="C2029" s="1" t="s">
        <v>68</v>
      </c>
      <c r="D2029" s="1" t="s">
        <v>46</v>
      </c>
      <c r="E2029" s="1" t="s">
        <v>8355</v>
      </c>
      <c r="F2029" s="1"/>
      <c r="G2029" s="1" t="s">
        <v>70</v>
      </c>
      <c r="H2029" s="1" t="s">
        <v>50</v>
      </c>
      <c r="I2029" s="1">
        <v>150000.0</v>
      </c>
      <c r="J2029" s="1"/>
      <c r="K2029" s="1"/>
      <c r="L2029" s="1" t="s">
        <v>172</v>
      </c>
      <c r="M2029" s="1" t="s">
        <v>8356</v>
      </c>
      <c r="N2029" s="1" t="s">
        <v>4634</v>
      </c>
      <c r="O2029" s="1" t="s">
        <v>4635</v>
      </c>
      <c r="P2029" s="2">
        <v>43752.75</v>
      </c>
      <c r="Q2029" s="1" t="s">
        <v>373</v>
      </c>
      <c r="R2029" s="3">
        <v>43752.0</v>
      </c>
      <c r="S2029" s="1"/>
      <c r="T2029" s="1">
        <v>1506195.0</v>
      </c>
      <c r="U2029" s="1" t="s">
        <v>7907</v>
      </c>
      <c r="V2029" s="1" t="s">
        <v>193</v>
      </c>
      <c r="W2029" s="1" t="s">
        <v>177</v>
      </c>
      <c r="X2029" s="1"/>
      <c r="Y2029" s="1" t="str">
        <f>"02001017770202069"</f>
        <v>02001017770202069</v>
      </c>
      <c r="Z2029" s="1" t="s">
        <v>4636</v>
      </c>
      <c r="AA2029" s="1" t="s">
        <v>8357</v>
      </c>
      <c r="AB2029" s="1" t="str">
        <f>"***574142**"</f>
        <v>***574142**</v>
      </c>
      <c r="AC2029" s="1"/>
      <c r="AD2029" s="1"/>
      <c r="AE2029" s="1"/>
      <c r="AF2029" s="1">
        <v>-54.821945</v>
      </c>
      <c r="AG2029" s="1">
        <v>-4.038055</v>
      </c>
      <c r="AH2029" s="1" t="s">
        <v>8358</v>
      </c>
      <c r="AI2029" s="1"/>
      <c r="AJ2029" s="1" t="s">
        <v>172</v>
      </c>
      <c r="AK2029" s="1"/>
      <c r="AL2029" s="1" t="s">
        <v>79</v>
      </c>
      <c r="AM2029" s="1" t="s">
        <v>65</v>
      </c>
      <c r="AN2029" s="1" t="s">
        <v>6258</v>
      </c>
      <c r="AO2029" s="2">
        <v>44047.0</v>
      </c>
      <c r="AP2029" s="2">
        <v>44047.3567824074</v>
      </c>
      <c r="AQ2029" s="1" t="s">
        <v>80</v>
      </c>
      <c r="AR2029" s="1" t="s">
        <v>462</v>
      </c>
      <c r="AS2029" s="1"/>
      <c r="AT2029" s="2">
        <v>44269.931099537</v>
      </c>
    </row>
    <row r="2030" ht="13.5" customHeight="1">
      <c r="A2030" s="1"/>
      <c r="B2030" s="1" t="s">
        <v>46</v>
      </c>
      <c r="C2030" s="1" t="s">
        <v>47</v>
      </c>
      <c r="D2030" s="1"/>
      <c r="E2030" s="1" t="s">
        <v>8359</v>
      </c>
      <c r="F2030" s="1"/>
      <c r="G2030" s="1" t="s">
        <v>49</v>
      </c>
      <c r="H2030" s="1" t="s">
        <v>50</v>
      </c>
      <c r="I2030" s="1"/>
      <c r="J2030" s="1"/>
      <c r="K2030" s="1"/>
      <c r="L2030" s="1"/>
      <c r="M2030" s="1" t="s">
        <v>8360</v>
      </c>
      <c r="N2030" s="1" t="s">
        <v>4634</v>
      </c>
      <c r="O2030" s="1" t="s">
        <v>4635</v>
      </c>
      <c r="P2030" s="2">
        <v>43752.7259837963</v>
      </c>
      <c r="Q2030" s="1"/>
      <c r="R2030" s="1"/>
      <c r="S2030" s="1"/>
      <c r="T2030" s="1">
        <v>1506195.0</v>
      </c>
      <c r="U2030" s="1" t="s">
        <v>7907</v>
      </c>
      <c r="V2030" s="1" t="s">
        <v>193</v>
      </c>
      <c r="W2030" s="1" t="s">
        <v>177</v>
      </c>
      <c r="X2030" s="1"/>
      <c r="Y2030" s="1" t="str">
        <f>"02001018744202058"</f>
        <v>02001018744202058</v>
      </c>
      <c r="Z2030" s="1" t="s">
        <v>4636</v>
      </c>
      <c r="AA2030" s="1" t="s">
        <v>8361</v>
      </c>
      <c r="AB2030" s="1" t="str">
        <f>"***606592**"</f>
        <v>***606592**</v>
      </c>
      <c r="AC2030" s="1"/>
      <c r="AD2030" s="1" t="s">
        <v>62</v>
      </c>
      <c r="AE2030" s="1"/>
      <c r="AF2030" s="1">
        <v>-54.7425</v>
      </c>
      <c r="AG2030" s="1">
        <v>-3.970556</v>
      </c>
      <c r="AH2030" s="1" t="s">
        <v>8228</v>
      </c>
      <c r="AI2030" s="1"/>
      <c r="AJ2030" s="1" t="s">
        <v>172</v>
      </c>
      <c r="AK2030" s="1"/>
      <c r="AL2030" s="1"/>
      <c r="AM2030" s="1" t="s">
        <v>65</v>
      </c>
      <c r="AN2030" s="1" t="s">
        <v>6258</v>
      </c>
      <c r="AO2030" s="1"/>
      <c r="AP2030" s="2">
        <v>44056.9165162037</v>
      </c>
      <c r="AQ2030" s="1"/>
      <c r="AR2030" s="1" t="s">
        <v>793</v>
      </c>
      <c r="AS2030" s="1"/>
      <c r="AT2030" s="2">
        <v>44269.931099537</v>
      </c>
    </row>
    <row r="2031" ht="13.5" customHeight="1">
      <c r="A2031" s="1">
        <v>2034907.0</v>
      </c>
      <c r="B2031" s="1" t="s">
        <v>67</v>
      </c>
      <c r="C2031" s="1" t="s">
        <v>68</v>
      </c>
      <c r="D2031" s="1" t="s">
        <v>46</v>
      </c>
      <c r="E2031" s="1" t="s">
        <v>8362</v>
      </c>
      <c r="F2031" s="1"/>
      <c r="G2031" s="1" t="s">
        <v>70</v>
      </c>
      <c r="H2031" s="1" t="s">
        <v>93</v>
      </c>
      <c r="I2031" s="1">
        <v>295000.0</v>
      </c>
      <c r="J2031" s="1"/>
      <c r="K2031" s="1"/>
      <c r="L2031" s="1" t="s">
        <v>172</v>
      </c>
      <c r="M2031" s="1" t="s">
        <v>8363</v>
      </c>
      <c r="N2031" s="1" t="s">
        <v>142</v>
      </c>
      <c r="O2031" s="1" t="s">
        <v>143</v>
      </c>
      <c r="P2031" s="2">
        <v>43752.625</v>
      </c>
      <c r="Q2031" s="1" t="s">
        <v>373</v>
      </c>
      <c r="R2031" s="3">
        <v>43752.0</v>
      </c>
      <c r="S2031" s="1"/>
      <c r="T2031" s="1">
        <v>1100205.0</v>
      </c>
      <c r="U2031" s="1" t="s">
        <v>653</v>
      </c>
      <c r="V2031" s="1" t="s">
        <v>448</v>
      </c>
      <c r="W2031" s="1" t="s">
        <v>177</v>
      </c>
      <c r="X2031" s="1"/>
      <c r="Y2031" s="1" t="str">
        <f>"02001034390201955"</f>
        <v>02001034390201955</v>
      </c>
      <c r="Z2031" s="1" t="s">
        <v>147</v>
      </c>
      <c r="AA2031" s="1" t="s">
        <v>8364</v>
      </c>
      <c r="AB2031" s="1" t="str">
        <f>"***364471**"</f>
        <v>***364471**</v>
      </c>
      <c r="AC2031" s="1"/>
      <c r="AD2031" s="1"/>
      <c r="AE2031" s="1"/>
      <c r="AF2031" s="1">
        <v>-63.417225</v>
      </c>
      <c r="AG2031" s="1">
        <v>-8.004723</v>
      </c>
      <c r="AH2031" s="1" t="s">
        <v>8365</v>
      </c>
      <c r="AI2031" s="1"/>
      <c r="AJ2031" s="1" t="s">
        <v>172</v>
      </c>
      <c r="AK2031" s="1"/>
      <c r="AL2031" s="1" t="s">
        <v>79</v>
      </c>
      <c r="AM2031" s="1" t="s">
        <v>65</v>
      </c>
      <c r="AN2031" s="1" t="s">
        <v>7331</v>
      </c>
      <c r="AO2031" s="2">
        <v>43892.0</v>
      </c>
      <c r="AP2031" s="2">
        <v>43892.7014583333</v>
      </c>
      <c r="AQ2031" s="1" t="s">
        <v>80</v>
      </c>
      <c r="AR2031" s="1" t="s">
        <v>650</v>
      </c>
      <c r="AS2031" s="1"/>
      <c r="AT2031" s="2">
        <v>44269.931099537</v>
      </c>
    </row>
    <row r="2032" ht="13.5" customHeight="1">
      <c r="A2032" s="1">
        <v>2039270.0</v>
      </c>
      <c r="B2032" s="1" t="s">
        <v>67</v>
      </c>
      <c r="C2032" s="1" t="s">
        <v>68</v>
      </c>
      <c r="D2032" s="1" t="s">
        <v>46</v>
      </c>
      <c r="E2032" s="1" t="s">
        <v>8366</v>
      </c>
      <c r="F2032" s="1"/>
      <c r="G2032" s="1" t="s">
        <v>70</v>
      </c>
      <c r="H2032" s="1" t="s">
        <v>50</v>
      </c>
      <c r="I2032" s="1">
        <v>150000.0</v>
      </c>
      <c r="J2032" s="1"/>
      <c r="K2032" s="1"/>
      <c r="L2032" s="1" t="s">
        <v>172</v>
      </c>
      <c r="M2032" s="1" t="s">
        <v>8367</v>
      </c>
      <c r="N2032" s="1" t="s">
        <v>4634</v>
      </c>
      <c r="O2032" s="1" t="s">
        <v>4635</v>
      </c>
      <c r="P2032" s="2">
        <v>43752.625</v>
      </c>
      <c r="Q2032" s="1" t="s">
        <v>373</v>
      </c>
      <c r="R2032" s="3">
        <v>43752.0</v>
      </c>
      <c r="S2032" s="1"/>
      <c r="T2032" s="1">
        <v>1506195.0</v>
      </c>
      <c r="U2032" s="1" t="s">
        <v>7907</v>
      </c>
      <c r="V2032" s="1" t="s">
        <v>193</v>
      </c>
      <c r="W2032" s="1" t="s">
        <v>177</v>
      </c>
      <c r="X2032" s="1"/>
      <c r="Y2032" s="1" t="str">
        <f>"02001018746202047"</f>
        <v>02001018746202047</v>
      </c>
      <c r="Z2032" s="1" t="s">
        <v>4636</v>
      </c>
      <c r="AA2032" s="1" t="s">
        <v>8368</v>
      </c>
      <c r="AB2032" s="1" t="str">
        <f>"***706602**"</f>
        <v>***706602**</v>
      </c>
      <c r="AC2032" s="1"/>
      <c r="AD2032" s="1"/>
      <c r="AE2032" s="1"/>
      <c r="AF2032" s="1">
        <v>-54.826942</v>
      </c>
      <c r="AG2032" s="1">
        <v>-3.996944</v>
      </c>
      <c r="AH2032" s="1" t="s">
        <v>8228</v>
      </c>
      <c r="AI2032" s="1"/>
      <c r="AJ2032" s="1" t="s">
        <v>172</v>
      </c>
      <c r="AK2032" s="1"/>
      <c r="AL2032" s="1" t="s">
        <v>79</v>
      </c>
      <c r="AM2032" s="1" t="s">
        <v>65</v>
      </c>
      <c r="AN2032" s="1" t="s">
        <v>6258</v>
      </c>
      <c r="AO2032" s="2">
        <v>44058.0</v>
      </c>
      <c r="AP2032" s="2">
        <v>44058.427337963</v>
      </c>
      <c r="AQ2032" s="1" t="s">
        <v>80</v>
      </c>
      <c r="AR2032" s="1" t="s">
        <v>1607</v>
      </c>
      <c r="AS2032" s="1"/>
      <c r="AT2032" s="2">
        <v>44269.931099537</v>
      </c>
    </row>
    <row r="2033" ht="13.5" customHeight="1">
      <c r="A2033" s="1">
        <v>2039269.0</v>
      </c>
      <c r="B2033" s="1" t="s">
        <v>67</v>
      </c>
      <c r="C2033" s="1" t="s">
        <v>68</v>
      </c>
      <c r="D2033" s="1" t="s">
        <v>46</v>
      </c>
      <c r="E2033" s="1" t="s">
        <v>8369</v>
      </c>
      <c r="F2033" s="1"/>
      <c r="G2033" s="1" t="s">
        <v>70</v>
      </c>
      <c r="H2033" s="1" t="s">
        <v>50</v>
      </c>
      <c r="I2033" s="1">
        <v>150000.0</v>
      </c>
      <c r="J2033" s="1"/>
      <c r="K2033" s="1"/>
      <c r="L2033" s="1" t="s">
        <v>172</v>
      </c>
      <c r="M2033" s="1" t="s">
        <v>8360</v>
      </c>
      <c r="N2033" s="1" t="s">
        <v>4634</v>
      </c>
      <c r="O2033" s="1" t="s">
        <v>4635</v>
      </c>
      <c r="P2033" s="2">
        <v>43752.5833333333</v>
      </c>
      <c r="Q2033" s="1" t="s">
        <v>74</v>
      </c>
      <c r="R2033" s="1"/>
      <c r="S2033" s="1"/>
      <c r="T2033" s="1">
        <v>1506195.0</v>
      </c>
      <c r="U2033" s="1" t="s">
        <v>7907</v>
      </c>
      <c r="V2033" s="1" t="s">
        <v>193</v>
      </c>
      <c r="W2033" s="1" t="s">
        <v>177</v>
      </c>
      <c r="X2033" s="1"/>
      <c r="Y2033" s="1" t="str">
        <f>"02001018745202001"</f>
        <v>02001018745202001</v>
      </c>
      <c r="Z2033" s="1" t="s">
        <v>4636</v>
      </c>
      <c r="AA2033" s="1" t="s">
        <v>8370</v>
      </c>
      <c r="AB2033" s="1" t="str">
        <f>"***606592**"</f>
        <v>***606592**</v>
      </c>
      <c r="AC2033" s="1"/>
      <c r="AD2033" s="1"/>
      <c r="AE2033" s="1"/>
      <c r="AF2033" s="1">
        <v>-54.7425</v>
      </c>
      <c r="AG2033" s="1">
        <v>-3.970556</v>
      </c>
      <c r="AH2033" s="1" t="s">
        <v>8228</v>
      </c>
      <c r="AI2033" s="1"/>
      <c r="AJ2033" s="1" t="s">
        <v>172</v>
      </c>
      <c r="AK2033" s="1"/>
      <c r="AL2033" s="1" t="s">
        <v>79</v>
      </c>
      <c r="AM2033" s="1" t="s">
        <v>65</v>
      </c>
      <c r="AN2033" s="1" t="s">
        <v>6258</v>
      </c>
      <c r="AO2033" s="2">
        <v>44058.0</v>
      </c>
      <c r="AP2033" s="2">
        <v>44058.4271759259</v>
      </c>
      <c r="AQ2033" s="1" t="s">
        <v>80</v>
      </c>
      <c r="AR2033" s="1" t="s">
        <v>1607</v>
      </c>
      <c r="AS2033" s="1"/>
      <c r="AT2033" s="2">
        <v>44269.931099537</v>
      </c>
    </row>
    <row r="2034" ht="13.5" customHeight="1">
      <c r="A2034" s="1">
        <v>2039268.0</v>
      </c>
      <c r="B2034" s="1" t="s">
        <v>67</v>
      </c>
      <c r="C2034" s="1" t="s">
        <v>68</v>
      </c>
      <c r="D2034" s="1" t="s">
        <v>46</v>
      </c>
      <c r="E2034" s="1" t="s">
        <v>8371</v>
      </c>
      <c r="F2034" s="1"/>
      <c r="G2034" s="1" t="s">
        <v>70</v>
      </c>
      <c r="H2034" s="1" t="s">
        <v>50</v>
      </c>
      <c r="I2034" s="1">
        <v>150000.0</v>
      </c>
      <c r="J2034" s="1"/>
      <c r="K2034" s="1"/>
      <c r="L2034" s="1" t="s">
        <v>172</v>
      </c>
      <c r="M2034" s="1" t="s">
        <v>8372</v>
      </c>
      <c r="N2034" s="1" t="s">
        <v>4634</v>
      </c>
      <c r="O2034" s="1" t="s">
        <v>4635</v>
      </c>
      <c r="P2034" s="2">
        <v>43752.5</v>
      </c>
      <c r="Q2034" s="1" t="s">
        <v>74</v>
      </c>
      <c r="R2034" s="1"/>
      <c r="S2034" s="1"/>
      <c r="T2034" s="1">
        <v>1506195.0</v>
      </c>
      <c r="U2034" s="1" t="s">
        <v>7907</v>
      </c>
      <c r="V2034" s="1" t="s">
        <v>193</v>
      </c>
      <c r="W2034" s="1" t="s">
        <v>177</v>
      </c>
      <c r="X2034" s="1"/>
      <c r="Y2034" s="1" t="str">
        <f>"02001018743202011"</f>
        <v>02001018743202011</v>
      </c>
      <c r="Z2034" s="1" t="s">
        <v>4636</v>
      </c>
      <c r="AA2034" s="1" t="s">
        <v>8373</v>
      </c>
      <c r="AB2034" s="1" t="str">
        <f>"***995172**"</f>
        <v>***995172**</v>
      </c>
      <c r="AC2034" s="1"/>
      <c r="AD2034" s="1"/>
      <c r="AE2034" s="1"/>
      <c r="AF2034" s="1">
        <v>-54.746944</v>
      </c>
      <c r="AG2034" s="1">
        <v>-3.960833</v>
      </c>
      <c r="AH2034" s="1" t="s">
        <v>8228</v>
      </c>
      <c r="AI2034" s="1"/>
      <c r="AJ2034" s="1" t="s">
        <v>172</v>
      </c>
      <c r="AK2034" s="1"/>
      <c r="AL2034" s="1" t="s">
        <v>79</v>
      </c>
      <c r="AM2034" s="1" t="s">
        <v>65</v>
      </c>
      <c r="AN2034" s="1" t="s">
        <v>6258</v>
      </c>
      <c r="AO2034" s="2">
        <v>44058.0</v>
      </c>
      <c r="AP2034" s="2">
        <v>44058.4267476852</v>
      </c>
      <c r="AQ2034" s="1" t="s">
        <v>80</v>
      </c>
      <c r="AR2034" s="1" t="s">
        <v>1607</v>
      </c>
      <c r="AS2034" s="1"/>
      <c r="AT2034" s="2">
        <v>44269.931099537</v>
      </c>
    </row>
    <row r="2035" ht="13.5" customHeight="1">
      <c r="A2035" s="1">
        <v>2036361.0</v>
      </c>
      <c r="B2035" s="1" t="s">
        <v>67</v>
      </c>
      <c r="C2035" s="1" t="s">
        <v>68</v>
      </c>
      <c r="D2035" s="1" t="s">
        <v>46</v>
      </c>
      <c r="E2035" s="1" t="s">
        <v>8374</v>
      </c>
      <c r="F2035" s="1"/>
      <c r="G2035" s="1" t="s">
        <v>70</v>
      </c>
      <c r="H2035" s="1" t="s">
        <v>50</v>
      </c>
      <c r="I2035" s="1">
        <v>45000.0</v>
      </c>
      <c r="J2035" s="1"/>
      <c r="K2035" s="1"/>
      <c r="L2035" s="1" t="s">
        <v>172</v>
      </c>
      <c r="M2035" s="1" t="s">
        <v>8375</v>
      </c>
      <c r="N2035" s="1" t="s">
        <v>142</v>
      </c>
      <c r="O2035" s="1" t="s">
        <v>143</v>
      </c>
      <c r="P2035" s="2">
        <v>43752.4583333333</v>
      </c>
      <c r="Q2035" s="1" t="s">
        <v>373</v>
      </c>
      <c r="R2035" s="3">
        <v>43752.0</v>
      </c>
      <c r="S2035" s="1"/>
      <c r="T2035" s="1">
        <v>1100700.0</v>
      </c>
      <c r="U2035" s="1" t="s">
        <v>447</v>
      </c>
      <c r="V2035" s="1" t="s">
        <v>448</v>
      </c>
      <c r="W2035" s="1" t="s">
        <v>177</v>
      </c>
      <c r="X2035" s="1"/>
      <c r="Y2035" s="1" t="str">
        <f>"02001010693202016"</f>
        <v>02001010693202016</v>
      </c>
      <c r="Z2035" s="1" t="s">
        <v>147</v>
      </c>
      <c r="AA2035" s="1" t="s">
        <v>8376</v>
      </c>
      <c r="AB2035" s="1" t="str">
        <f>"***352122**"</f>
        <v>***352122**</v>
      </c>
      <c r="AC2035" s="1"/>
      <c r="AD2035" s="1"/>
      <c r="AE2035" s="1"/>
      <c r="AF2035" s="1">
        <v>-63.831387</v>
      </c>
      <c r="AG2035" s="1">
        <v>-10.352222</v>
      </c>
      <c r="AH2035" s="1" t="s">
        <v>8377</v>
      </c>
      <c r="AI2035" s="1"/>
      <c r="AJ2035" s="1" t="s">
        <v>172</v>
      </c>
      <c r="AK2035" s="1"/>
      <c r="AL2035" s="1" t="s">
        <v>79</v>
      </c>
      <c r="AM2035" s="1" t="s">
        <v>65</v>
      </c>
      <c r="AN2035" s="1" t="s">
        <v>6258</v>
      </c>
      <c r="AO2035" s="2">
        <v>43948.0</v>
      </c>
      <c r="AP2035" s="2">
        <v>43948.7140972222</v>
      </c>
      <c r="AQ2035" s="1" t="s">
        <v>80</v>
      </c>
      <c r="AR2035" s="1" t="s">
        <v>1334</v>
      </c>
      <c r="AS2035" s="1"/>
      <c r="AT2035" s="2">
        <v>44269.931099537</v>
      </c>
    </row>
    <row r="2036" ht="13.5" customHeight="1">
      <c r="A2036" s="1">
        <v>2038404.0</v>
      </c>
      <c r="B2036" s="1" t="s">
        <v>67</v>
      </c>
      <c r="C2036" s="1" t="s">
        <v>68</v>
      </c>
      <c r="D2036" s="1" t="s">
        <v>46</v>
      </c>
      <c r="E2036" s="1" t="s">
        <v>8378</v>
      </c>
      <c r="F2036" s="1"/>
      <c r="G2036" s="1" t="s">
        <v>70</v>
      </c>
      <c r="H2036" s="1" t="s">
        <v>93</v>
      </c>
      <c r="I2036" s="1">
        <v>130000.0</v>
      </c>
      <c r="J2036" s="1"/>
      <c r="K2036" s="1"/>
      <c r="L2036" s="1" t="s">
        <v>172</v>
      </c>
      <c r="M2036" s="1" t="s">
        <v>8379</v>
      </c>
      <c r="N2036" s="1" t="s">
        <v>142</v>
      </c>
      <c r="O2036" s="1" t="s">
        <v>143</v>
      </c>
      <c r="P2036" s="2">
        <v>43752.375</v>
      </c>
      <c r="Q2036" s="1" t="s">
        <v>74</v>
      </c>
      <c r="R2036" s="1"/>
      <c r="S2036" s="1"/>
      <c r="T2036" s="1">
        <v>1100452.0</v>
      </c>
      <c r="U2036" s="1" t="s">
        <v>8380</v>
      </c>
      <c r="V2036" s="1" t="s">
        <v>448</v>
      </c>
      <c r="W2036" s="1" t="s">
        <v>177</v>
      </c>
      <c r="X2036" s="1"/>
      <c r="Y2036" s="1" t="str">
        <f>"02001016660202080"</f>
        <v>02001016660202080</v>
      </c>
      <c r="Z2036" s="1" t="s">
        <v>147</v>
      </c>
      <c r="AA2036" s="1" t="s">
        <v>8381</v>
      </c>
      <c r="AB2036" s="1" t="str">
        <f>"***972102**"</f>
        <v>***972102**</v>
      </c>
      <c r="AC2036" s="1"/>
      <c r="AD2036" s="1"/>
      <c r="AE2036" s="1"/>
      <c r="AF2036" s="1">
        <v>-63.861664</v>
      </c>
      <c r="AG2036" s="1">
        <v>-10.339167</v>
      </c>
      <c r="AH2036" s="1" t="s">
        <v>8382</v>
      </c>
      <c r="AI2036" s="1"/>
      <c r="AJ2036" s="1" t="s">
        <v>172</v>
      </c>
      <c r="AK2036" s="1"/>
      <c r="AL2036" s="1" t="s">
        <v>79</v>
      </c>
      <c r="AM2036" s="1" t="s">
        <v>65</v>
      </c>
      <c r="AN2036" s="1" t="s">
        <v>6258</v>
      </c>
      <c r="AO2036" s="2">
        <v>44033.0</v>
      </c>
      <c r="AP2036" s="2">
        <v>44033.8522453704</v>
      </c>
      <c r="AQ2036" s="1" t="s">
        <v>80</v>
      </c>
      <c r="AR2036" s="1" t="s">
        <v>656</v>
      </c>
      <c r="AS2036" s="1"/>
      <c r="AT2036" s="2">
        <v>44269.931099537</v>
      </c>
    </row>
    <row r="2037" ht="13.5" customHeight="1">
      <c r="A2037" s="1">
        <v>2038403.0</v>
      </c>
      <c r="B2037" s="1" t="s">
        <v>67</v>
      </c>
      <c r="C2037" s="1" t="s">
        <v>68</v>
      </c>
      <c r="D2037" s="1" t="s">
        <v>46</v>
      </c>
      <c r="E2037" s="1" t="s">
        <v>8383</v>
      </c>
      <c r="F2037" s="1"/>
      <c r="G2037" s="1" t="s">
        <v>70</v>
      </c>
      <c r="H2037" s="1" t="s">
        <v>93</v>
      </c>
      <c r="I2037" s="1">
        <v>85000.0</v>
      </c>
      <c r="J2037" s="1"/>
      <c r="K2037" s="1"/>
      <c r="L2037" s="1" t="s">
        <v>172</v>
      </c>
      <c r="M2037" s="1" t="s">
        <v>8384</v>
      </c>
      <c r="N2037" s="1" t="s">
        <v>142</v>
      </c>
      <c r="O2037" s="1" t="s">
        <v>143</v>
      </c>
      <c r="P2037" s="2">
        <v>43752.3333333333</v>
      </c>
      <c r="Q2037" s="1" t="s">
        <v>373</v>
      </c>
      <c r="R2037" s="3">
        <v>43752.0</v>
      </c>
      <c r="S2037" s="1"/>
      <c r="T2037" s="1">
        <v>1100452.0</v>
      </c>
      <c r="U2037" s="1" t="s">
        <v>8380</v>
      </c>
      <c r="V2037" s="1" t="s">
        <v>448</v>
      </c>
      <c r="W2037" s="1" t="s">
        <v>177</v>
      </c>
      <c r="X2037" s="1"/>
      <c r="Y2037" s="1" t="str">
        <f>"02001016659202055"</f>
        <v>02001016659202055</v>
      </c>
      <c r="Z2037" s="1" t="s">
        <v>147</v>
      </c>
      <c r="AA2037" s="1" t="s">
        <v>8385</v>
      </c>
      <c r="AB2037" s="1" t="str">
        <f>"***747502**"</f>
        <v>***747502**</v>
      </c>
      <c r="AC2037" s="1"/>
      <c r="AD2037" s="1"/>
      <c r="AE2037" s="1"/>
      <c r="AF2037" s="1">
        <v>-63.831112</v>
      </c>
      <c r="AG2037" s="1">
        <v>-10.348333</v>
      </c>
      <c r="AH2037" s="1" t="s">
        <v>8386</v>
      </c>
      <c r="AI2037" s="1"/>
      <c r="AJ2037" s="1" t="s">
        <v>172</v>
      </c>
      <c r="AK2037" s="1"/>
      <c r="AL2037" s="1" t="s">
        <v>79</v>
      </c>
      <c r="AM2037" s="1" t="s">
        <v>65</v>
      </c>
      <c r="AN2037" s="1" t="s">
        <v>6258</v>
      </c>
      <c r="AO2037" s="2">
        <v>44033.0</v>
      </c>
      <c r="AP2037" s="2">
        <v>44033.8513888889</v>
      </c>
      <c r="AQ2037" s="1" t="s">
        <v>80</v>
      </c>
      <c r="AR2037" s="1" t="s">
        <v>656</v>
      </c>
      <c r="AS2037" s="1"/>
      <c r="AT2037" s="2">
        <v>44269.931099537</v>
      </c>
    </row>
    <row r="2038" ht="13.5" customHeight="1">
      <c r="A2038" s="1">
        <v>2042806.0</v>
      </c>
      <c r="B2038" s="1" t="s">
        <v>67</v>
      </c>
      <c r="C2038" s="1" t="s">
        <v>68</v>
      </c>
      <c r="D2038" s="1" t="s">
        <v>46</v>
      </c>
      <c r="E2038" s="1" t="s">
        <v>8387</v>
      </c>
      <c r="F2038" s="1"/>
      <c r="G2038" s="1" t="s">
        <v>70</v>
      </c>
      <c r="H2038" s="1" t="s">
        <v>50</v>
      </c>
      <c r="I2038" s="1">
        <v>6000.0</v>
      </c>
      <c r="J2038" s="1"/>
      <c r="K2038" s="1"/>
      <c r="L2038" s="1" t="s">
        <v>898</v>
      </c>
      <c r="M2038" s="1" t="s">
        <v>8388</v>
      </c>
      <c r="N2038" s="1" t="s">
        <v>283</v>
      </c>
      <c r="O2038" s="1" t="s">
        <v>1133</v>
      </c>
      <c r="P2038" s="2">
        <v>43752.3333333333</v>
      </c>
      <c r="Q2038" s="1" t="s">
        <v>74</v>
      </c>
      <c r="R2038" s="3">
        <v>43752.0</v>
      </c>
      <c r="S2038" s="1"/>
      <c r="T2038" s="1">
        <v>2211001.0</v>
      </c>
      <c r="U2038" s="1" t="s">
        <v>1667</v>
      </c>
      <c r="V2038" s="1" t="s">
        <v>895</v>
      </c>
      <c r="W2038" s="1" t="s">
        <v>113</v>
      </c>
      <c r="X2038" s="1"/>
      <c r="Y2038" s="1"/>
      <c r="Z2038" s="1" t="s">
        <v>128</v>
      </c>
      <c r="AA2038" s="1" t="s">
        <v>8389</v>
      </c>
      <c r="AB2038" s="1" t="str">
        <f>"13674717000160"</f>
        <v>13674717000160</v>
      </c>
      <c r="AC2038" s="1"/>
      <c r="AD2038" s="1"/>
      <c r="AE2038" s="1"/>
      <c r="AF2038" s="1">
        <v>-42.783889</v>
      </c>
      <c r="AG2038" s="1">
        <v>-5.064722</v>
      </c>
      <c r="AH2038" s="1" t="s">
        <v>8390</v>
      </c>
      <c r="AI2038" s="1"/>
      <c r="AJ2038" s="1" t="s">
        <v>898</v>
      </c>
      <c r="AK2038" s="1"/>
      <c r="AL2038" s="1" t="s">
        <v>79</v>
      </c>
      <c r="AM2038" s="1" t="s">
        <v>65</v>
      </c>
      <c r="AN2038" s="1" t="s">
        <v>152</v>
      </c>
      <c r="AO2038" s="2">
        <v>44217.0</v>
      </c>
      <c r="AP2038" s="2">
        <v>44217.6021527778</v>
      </c>
      <c r="AQ2038" s="1" t="s">
        <v>80</v>
      </c>
      <c r="AR2038" s="1" t="s">
        <v>81</v>
      </c>
      <c r="AS2038" s="1"/>
      <c r="AT2038" s="2">
        <v>44269.931099537</v>
      </c>
    </row>
    <row r="2039" ht="13.5" customHeight="1">
      <c r="A2039" s="1"/>
      <c r="B2039" s="1" t="s">
        <v>46</v>
      </c>
      <c r="C2039" s="1" t="s">
        <v>47</v>
      </c>
      <c r="D2039" s="1"/>
      <c r="E2039" s="1" t="s">
        <v>8391</v>
      </c>
      <c r="F2039" s="1"/>
      <c r="G2039" s="1"/>
      <c r="H2039" s="1" t="s">
        <v>50</v>
      </c>
      <c r="I2039" s="1">
        <v>1500.0</v>
      </c>
      <c r="J2039" s="1"/>
      <c r="K2039" s="1" t="s">
        <v>140</v>
      </c>
      <c r="L2039" s="1"/>
      <c r="M2039" s="1" t="s">
        <v>8392</v>
      </c>
      <c r="N2039" s="1" t="s">
        <v>53</v>
      </c>
      <c r="O2039" s="1" t="s">
        <v>54</v>
      </c>
      <c r="P2039" s="2">
        <v>43751.8759027778</v>
      </c>
      <c r="Q2039" s="1" t="s">
        <v>373</v>
      </c>
      <c r="R2039" s="1"/>
      <c r="S2039" s="1"/>
      <c r="T2039" s="1">
        <v>5102504.0</v>
      </c>
      <c r="U2039" s="1" t="s">
        <v>2840</v>
      </c>
      <c r="V2039" s="1" t="s">
        <v>164</v>
      </c>
      <c r="W2039" s="1" t="s">
        <v>530</v>
      </c>
      <c r="X2039" s="1"/>
      <c r="Y2039" s="1"/>
      <c r="Z2039" s="1" t="s">
        <v>60</v>
      </c>
      <c r="AA2039" s="1" t="s">
        <v>8393</v>
      </c>
      <c r="AB2039" s="1" t="str">
        <f>"***799771**"</f>
        <v>***799771**</v>
      </c>
      <c r="AC2039" s="1"/>
      <c r="AD2039" s="1" t="s">
        <v>62</v>
      </c>
      <c r="AE2039" s="1"/>
      <c r="AF2039" s="1">
        <v>-57.750832</v>
      </c>
      <c r="AG2039" s="1">
        <v>-16.325279</v>
      </c>
      <c r="AH2039" s="1" t="s">
        <v>8394</v>
      </c>
      <c r="AI2039" s="1"/>
      <c r="AJ2039" s="1" t="s">
        <v>167</v>
      </c>
      <c r="AK2039" s="1"/>
      <c r="AL2039" s="1"/>
      <c r="AM2039" s="1"/>
      <c r="AN2039" s="1" t="s">
        <v>7765</v>
      </c>
      <c r="AO2039" s="1"/>
      <c r="AP2039" s="2">
        <v>43751.8983796296</v>
      </c>
      <c r="AQ2039" s="1"/>
      <c r="AR2039" s="1" t="s">
        <v>3259</v>
      </c>
      <c r="AS2039" s="1"/>
      <c r="AT2039" s="2">
        <v>44269.931099537</v>
      </c>
    </row>
    <row r="2040" ht="13.5" customHeight="1">
      <c r="A2040" s="1"/>
      <c r="B2040" s="1" t="s">
        <v>46</v>
      </c>
      <c r="C2040" s="1" t="s">
        <v>47</v>
      </c>
      <c r="D2040" s="1"/>
      <c r="E2040" s="1" t="s">
        <v>8395</v>
      </c>
      <c r="F2040" s="1"/>
      <c r="G2040" s="1"/>
      <c r="H2040" s="1" t="s">
        <v>93</v>
      </c>
      <c r="I2040" s="1">
        <v>955000.0</v>
      </c>
      <c r="J2040" s="1"/>
      <c r="K2040" s="1"/>
      <c r="L2040" s="1"/>
      <c r="M2040" s="1" t="s">
        <v>8396</v>
      </c>
      <c r="N2040" s="1" t="s">
        <v>142</v>
      </c>
      <c r="O2040" s="1" t="s">
        <v>143</v>
      </c>
      <c r="P2040" s="2">
        <v>43751.673125</v>
      </c>
      <c r="Q2040" s="1" t="s">
        <v>373</v>
      </c>
      <c r="R2040" s="1"/>
      <c r="S2040" s="1"/>
      <c r="T2040" s="1">
        <v>1302405.0</v>
      </c>
      <c r="U2040" s="1" t="s">
        <v>2258</v>
      </c>
      <c r="V2040" s="1" t="s">
        <v>486</v>
      </c>
      <c r="W2040" s="1" t="s">
        <v>177</v>
      </c>
      <c r="X2040" s="1"/>
      <c r="Y2040" s="1"/>
      <c r="Z2040" s="1" t="s">
        <v>147</v>
      </c>
      <c r="AA2040" s="1" t="s">
        <v>8397</v>
      </c>
      <c r="AB2040" s="1" t="str">
        <f>"***575892**"</f>
        <v>***575892**</v>
      </c>
      <c r="AC2040" s="1"/>
      <c r="AD2040" s="1" t="s">
        <v>2103</v>
      </c>
      <c r="AE2040" s="1"/>
      <c r="AF2040" s="1">
        <v>-65.481392</v>
      </c>
      <c r="AG2040" s="1">
        <v>-9.162777</v>
      </c>
      <c r="AH2040" s="1" t="s">
        <v>8398</v>
      </c>
      <c r="AI2040" s="1"/>
      <c r="AJ2040" s="1" t="s">
        <v>172</v>
      </c>
      <c r="AK2040" s="1"/>
      <c r="AL2040" s="1"/>
      <c r="AM2040" s="1"/>
      <c r="AN2040" s="1" t="s">
        <v>6258</v>
      </c>
      <c r="AO2040" s="1"/>
      <c r="AP2040" s="2">
        <v>43751.7041666667</v>
      </c>
      <c r="AQ2040" s="1"/>
      <c r="AR2040" s="1" t="s">
        <v>7325</v>
      </c>
      <c r="AS2040" s="1"/>
      <c r="AT2040" s="2">
        <v>44269.931099537</v>
      </c>
    </row>
    <row r="2041" ht="13.5" customHeight="1">
      <c r="A2041" s="1"/>
      <c r="B2041" s="1" t="s">
        <v>46</v>
      </c>
      <c r="C2041" s="1" t="s">
        <v>47</v>
      </c>
      <c r="D2041" s="1"/>
      <c r="E2041" s="1" t="s">
        <v>8399</v>
      </c>
      <c r="F2041" s="1"/>
      <c r="G2041" s="1"/>
      <c r="H2041" s="1" t="s">
        <v>93</v>
      </c>
      <c r="I2041" s="1">
        <v>250000.0</v>
      </c>
      <c r="J2041" s="1"/>
      <c r="K2041" s="1"/>
      <c r="L2041" s="1"/>
      <c r="M2041" s="1" t="s">
        <v>8400</v>
      </c>
      <c r="N2041" s="1" t="s">
        <v>142</v>
      </c>
      <c r="O2041" s="1" t="s">
        <v>143</v>
      </c>
      <c r="P2041" s="2">
        <v>43751.5916666667</v>
      </c>
      <c r="Q2041" s="1" t="s">
        <v>373</v>
      </c>
      <c r="R2041" s="1"/>
      <c r="S2041" s="1"/>
      <c r="T2041" s="1">
        <v>1302405.0</v>
      </c>
      <c r="U2041" s="1" t="s">
        <v>2258</v>
      </c>
      <c r="V2041" s="1" t="s">
        <v>486</v>
      </c>
      <c r="W2041" s="1" t="s">
        <v>177</v>
      </c>
      <c r="X2041" s="1"/>
      <c r="Y2041" s="1"/>
      <c r="Z2041" s="1" t="s">
        <v>147</v>
      </c>
      <c r="AA2041" s="1" t="s">
        <v>8401</v>
      </c>
      <c r="AB2041" s="1" t="str">
        <f>"***592292**"</f>
        <v>***592292**</v>
      </c>
      <c r="AC2041" s="1"/>
      <c r="AD2041" s="1" t="s">
        <v>2103</v>
      </c>
      <c r="AE2041" s="1"/>
      <c r="AF2041" s="1">
        <v>-65.480278</v>
      </c>
      <c r="AG2041" s="1">
        <v>-9.172222</v>
      </c>
      <c r="AH2041" s="1" t="s">
        <v>7682</v>
      </c>
      <c r="AI2041" s="1"/>
      <c r="AJ2041" s="1" t="s">
        <v>172</v>
      </c>
      <c r="AK2041" s="1"/>
      <c r="AL2041" s="1"/>
      <c r="AM2041" s="1"/>
      <c r="AN2041" s="1" t="s">
        <v>6258</v>
      </c>
      <c r="AO2041" s="1"/>
      <c r="AP2041" s="2">
        <v>43751.6403356482</v>
      </c>
      <c r="AQ2041" s="1"/>
      <c r="AR2041" s="1" t="s">
        <v>8402</v>
      </c>
      <c r="AS2041" s="1"/>
      <c r="AT2041" s="2">
        <v>44269.931099537</v>
      </c>
    </row>
    <row r="2042" ht="13.5" customHeight="1">
      <c r="A2042" s="1">
        <v>2038884.0</v>
      </c>
      <c r="B2042" s="1" t="s">
        <v>67</v>
      </c>
      <c r="C2042" s="1" t="s">
        <v>68</v>
      </c>
      <c r="D2042" s="1" t="s">
        <v>46</v>
      </c>
      <c r="E2042" s="1" t="s">
        <v>8403</v>
      </c>
      <c r="F2042" s="1"/>
      <c r="G2042" s="1" t="s">
        <v>70</v>
      </c>
      <c r="H2042" s="1" t="s">
        <v>93</v>
      </c>
      <c r="I2042" s="1">
        <v>1000.0</v>
      </c>
      <c r="J2042" s="1"/>
      <c r="K2042" s="1"/>
      <c r="L2042" s="1" t="s">
        <v>172</v>
      </c>
      <c r="M2042" s="1" t="s">
        <v>8404</v>
      </c>
      <c r="N2042" s="1" t="s">
        <v>142</v>
      </c>
      <c r="O2042" s="1" t="s">
        <v>143</v>
      </c>
      <c r="P2042" s="2">
        <v>43751.5833333333</v>
      </c>
      <c r="Q2042" s="1" t="s">
        <v>373</v>
      </c>
      <c r="R2042" s="3">
        <v>43751.0</v>
      </c>
      <c r="S2042" s="1"/>
      <c r="T2042" s="1">
        <v>1505031.0</v>
      </c>
      <c r="U2042" s="1" t="s">
        <v>5123</v>
      </c>
      <c r="V2042" s="1" t="s">
        <v>193</v>
      </c>
      <c r="W2042" s="1" t="s">
        <v>177</v>
      </c>
      <c r="X2042" s="1"/>
      <c r="Y2042" s="1" t="str">
        <f>"02001017891202019"</f>
        <v>02001017891202019</v>
      </c>
      <c r="Z2042" s="1" t="s">
        <v>147</v>
      </c>
      <c r="AA2042" s="1" t="s">
        <v>8405</v>
      </c>
      <c r="AB2042" s="1" t="str">
        <f>"***929471**"</f>
        <v>***929471**</v>
      </c>
      <c r="AC2042" s="1"/>
      <c r="AD2042" s="1"/>
      <c r="AE2042" s="1"/>
      <c r="AF2042" s="1">
        <v>-55.415836</v>
      </c>
      <c r="AG2042" s="1">
        <v>-7.026111</v>
      </c>
      <c r="AH2042" s="1" t="s">
        <v>8406</v>
      </c>
      <c r="AI2042" s="1"/>
      <c r="AJ2042" s="1" t="s">
        <v>172</v>
      </c>
      <c r="AK2042" s="1"/>
      <c r="AL2042" s="1" t="s">
        <v>79</v>
      </c>
      <c r="AM2042" s="1" t="s">
        <v>65</v>
      </c>
      <c r="AN2042" s="1" t="s">
        <v>6258</v>
      </c>
      <c r="AO2042" s="2">
        <v>44047.0</v>
      </c>
      <c r="AP2042" s="2">
        <v>44047.7552662037</v>
      </c>
      <c r="AQ2042" s="1" t="s">
        <v>80</v>
      </c>
      <c r="AR2042" s="1" t="s">
        <v>4297</v>
      </c>
      <c r="AS2042" s="1"/>
      <c r="AT2042" s="2">
        <v>44269.931099537</v>
      </c>
    </row>
    <row r="2043" ht="13.5" customHeight="1">
      <c r="A2043" s="1">
        <v>2038709.0</v>
      </c>
      <c r="B2043" s="1" t="s">
        <v>67</v>
      </c>
      <c r="C2043" s="1" t="s">
        <v>68</v>
      </c>
      <c r="D2043" s="1" t="s">
        <v>46</v>
      </c>
      <c r="E2043" s="1" t="s">
        <v>8407</v>
      </c>
      <c r="F2043" s="1"/>
      <c r="G2043" s="1" t="s">
        <v>70</v>
      </c>
      <c r="H2043" s="1" t="s">
        <v>93</v>
      </c>
      <c r="I2043" s="1">
        <v>3375000.0</v>
      </c>
      <c r="J2043" s="1"/>
      <c r="K2043" s="1"/>
      <c r="L2043" s="1" t="s">
        <v>172</v>
      </c>
      <c r="M2043" s="1" t="s">
        <v>8408</v>
      </c>
      <c r="N2043" s="1" t="s">
        <v>142</v>
      </c>
      <c r="O2043" s="1" t="s">
        <v>143</v>
      </c>
      <c r="P2043" s="2">
        <v>43751.5416666667</v>
      </c>
      <c r="Q2043" s="1" t="s">
        <v>373</v>
      </c>
      <c r="R2043" s="3">
        <v>43751.0</v>
      </c>
      <c r="S2043" s="1"/>
      <c r="T2043" s="1">
        <v>1508050.0</v>
      </c>
      <c r="U2043" s="1" t="s">
        <v>8409</v>
      </c>
      <c r="V2043" s="1" t="s">
        <v>193</v>
      </c>
      <c r="W2043" s="1" t="s">
        <v>177</v>
      </c>
      <c r="X2043" s="1"/>
      <c r="Y2043" s="1" t="str">
        <f>"02001017653202003"</f>
        <v>02001017653202003</v>
      </c>
      <c r="Z2043" s="1" t="s">
        <v>147</v>
      </c>
      <c r="AA2043" s="1" t="s">
        <v>8410</v>
      </c>
      <c r="AB2043" s="1" t="str">
        <f t="shared" ref="AB2043:AB2044" si="125">"***276252**"</f>
        <v>***276252**</v>
      </c>
      <c r="AC2043" s="1"/>
      <c r="AD2043" s="1"/>
      <c r="AE2043" s="1"/>
      <c r="AF2043" s="1">
        <v>-55.683056</v>
      </c>
      <c r="AG2043" s="1">
        <v>-4.741945</v>
      </c>
      <c r="AH2043" s="1" t="s">
        <v>8411</v>
      </c>
      <c r="AI2043" s="1"/>
      <c r="AJ2043" s="1" t="s">
        <v>172</v>
      </c>
      <c r="AK2043" s="1"/>
      <c r="AL2043" s="1" t="s">
        <v>79</v>
      </c>
      <c r="AM2043" s="1" t="s">
        <v>65</v>
      </c>
      <c r="AN2043" s="1" t="s">
        <v>6258</v>
      </c>
      <c r="AO2043" s="2">
        <v>44046.0</v>
      </c>
      <c r="AP2043" s="2">
        <v>44046.4757523148</v>
      </c>
      <c r="AQ2043" s="1" t="s">
        <v>80</v>
      </c>
      <c r="AR2043" s="1" t="s">
        <v>656</v>
      </c>
      <c r="AS2043" s="1"/>
      <c r="AT2043" s="2">
        <v>44269.931099537</v>
      </c>
    </row>
    <row r="2044" ht="13.5" customHeight="1">
      <c r="A2044" s="1">
        <v>2038705.0</v>
      </c>
      <c r="B2044" s="1" t="s">
        <v>67</v>
      </c>
      <c r="C2044" s="1" t="s">
        <v>68</v>
      </c>
      <c r="D2044" s="1" t="s">
        <v>46</v>
      </c>
      <c r="E2044" s="1" t="s">
        <v>8412</v>
      </c>
      <c r="F2044" s="1"/>
      <c r="G2044" s="1" t="s">
        <v>70</v>
      </c>
      <c r="H2044" s="1" t="s">
        <v>93</v>
      </c>
      <c r="I2044" s="1">
        <v>33750.0</v>
      </c>
      <c r="J2044" s="1"/>
      <c r="K2044" s="1"/>
      <c r="L2044" s="1" t="s">
        <v>172</v>
      </c>
      <c r="M2044" s="1" t="s">
        <v>8413</v>
      </c>
      <c r="N2044" s="1" t="s">
        <v>142</v>
      </c>
      <c r="O2044" s="1" t="s">
        <v>143</v>
      </c>
      <c r="P2044" s="2">
        <v>43751.5</v>
      </c>
      <c r="Q2044" s="1" t="s">
        <v>373</v>
      </c>
      <c r="R2044" s="3">
        <v>43751.0</v>
      </c>
      <c r="S2044" s="1"/>
      <c r="T2044" s="1">
        <v>1508050.0</v>
      </c>
      <c r="U2044" s="1" t="s">
        <v>8409</v>
      </c>
      <c r="V2044" s="1" t="s">
        <v>193</v>
      </c>
      <c r="W2044" s="1" t="s">
        <v>177</v>
      </c>
      <c r="X2044" s="1"/>
      <c r="Y2044" s="1" t="str">
        <f>"02001017644202012"</f>
        <v>02001017644202012</v>
      </c>
      <c r="Z2044" s="1" t="s">
        <v>147</v>
      </c>
      <c r="AA2044" s="1" t="s">
        <v>8410</v>
      </c>
      <c r="AB2044" s="1" t="str">
        <f t="shared" si="125"/>
        <v>***276252**</v>
      </c>
      <c r="AC2044" s="1"/>
      <c r="AD2044" s="1"/>
      <c r="AE2044" s="1"/>
      <c r="AF2044" s="1">
        <v>-55.683056</v>
      </c>
      <c r="AG2044" s="1">
        <v>-4.741945</v>
      </c>
      <c r="AH2044" s="1" t="s">
        <v>8411</v>
      </c>
      <c r="AI2044" s="1"/>
      <c r="AJ2044" s="1" t="s">
        <v>172</v>
      </c>
      <c r="AK2044" s="1"/>
      <c r="AL2044" s="1" t="s">
        <v>79</v>
      </c>
      <c r="AM2044" s="1" t="s">
        <v>65</v>
      </c>
      <c r="AN2044" s="1" t="s">
        <v>6258</v>
      </c>
      <c r="AO2044" s="2">
        <v>44046.0</v>
      </c>
      <c r="AP2044" s="2">
        <v>44046.445787037</v>
      </c>
      <c r="AQ2044" s="1" t="s">
        <v>80</v>
      </c>
      <c r="AR2044" s="1" t="s">
        <v>656</v>
      </c>
      <c r="AS2044" s="1"/>
      <c r="AT2044" s="2">
        <v>44269.931099537</v>
      </c>
    </row>
    <row r="2045" ht="13.5" customHeight="1">
      <c r="A2045" s="1">
        <v>2034905.0</v>
      </c>
      <c r="B2045" s="1" t="s">
        <v>67</v>
      </c>
      <c r="C2045" s="1" t="s">
        <v>68</v>
      </c>
      <c r="D2045" s="1" t="s">
        <v>46</v>
      </c>
      <c r="E2045" s="1" t="s">
        <v>8414</v>
      </c>
      <c r="F2045" s="1"/>
      <c r="G2045" s="1" t="s">
        <v>70</v>
      </c>
      <c r="H2045" s="1" t="s">
        <v>93</v>
      </c>
      <c r="I2045" s="1">
        <v>1085000.0</v>
      </c>
      <c r="J2045" s="1"/>
      <c r="K2045" s="1"/>
      <c r="L2045" s="1" t="s">
        <v>172</v>
      </c>
      <c r="M2045" s="1" t="s">
        <v>8415</v>
      </c>
      <c r="N2045" s="1" t="s">
        <v>142</v>
      </c>
      <c r="O2045" s="1" t="s">
        <v>143</v>
      </c>
      <c r="P2045" s="2">
        <v>43751.4166666667</v>
      </c>
      <c r="Q2045" s="1" t="s">
        <v>74</v>
      </c>
      <c r="R2045" s="3">
        <v>43750.0</v>
      </c>
      <c r="S2045" s="1"/>
      <c r="T2045" s="1">
        <v>1100205.0</v>
      </c>
      <c r="U2045" s="1" t="s">
        <v>653</v>
      </c>
      <c r="V2045" s="1" t="s">
        <v>448</v>
      </c>
      <c r="W2045" s="1" t="s">
        <v>177</v>
      </c>
      <c r="X2045" s="1"/>
      <c r="Y2045" s="1" t="str">
        <f>"02001002132202043"</f>
        <v>02001002132202043</v>
      </c>
      <c r="Z2045" s="1" t="s">
        <v>147</v>
      </c>
      <c r="AA2045" s="1" t="s">
        <v>8416</v>
      </c>
      <c r="AB2045" s="1" t="str">
        <f>"***960439**"</f>
        <v>***960439**</v>
      </c>
      <c r="AC2045" s="1"/>
      <c r="AD2045" s="1"/>
      <c r="AE2045" s="1"/>
      <c r="AF2045" s="1">
        <v>-63.440002</v>
      </c>
      <c r="AG2045" s="1">
        <v>-8.001111</v>
      </c>
      <c r="AH2045" s="1" t="s">
        <v>8417</v>
      </c>
      <c r="AI2045" s="1"/>
      <c r="AJ2045" s="1" t="s">
        <v>172</v>
      </c>
      <c r="AK2045" s="1"/>
      <c r="AL2045" s="1" t="s">
        <v>79</v>
      </c>
      <c r="AM2045" s="1" t="s">
        <v>65</v>
      </c>
      <c r="AN2045" s="1" t="s">
        <v>7331</v>
      </c>
      <c r="AO2045" s="2">
        <v>43892.0</v>
      </c>
      <c r="AP2045" s="2">
        <v>43892.7008796296</v>
      </c>
      <c r="AQ2045" s="1" t="s">
        <v>80</v>
      </c>
      <c r="AR2045" s="1" t="s">
        <v>650</v>
      </c>
      <c r="AS2045" s="1"/>
      <c r="AT2045" s="2">
        <v>44269.931099537</v>
      </c>
    </row>
    <row r="2046" ht="13.5" customHeight="1">
      <c r="A2046" s="1">
        <v>2040566.0</v>
      </c>
      <c r="B2046" s="1" t="s">
        <v>67</v>
      </c>
      <c r="C2046" s="1" t="s">
        <v>68</v>
      </c>
      <c r="D2046" s="1" t="s">
        <v>46</v>
      </c>
      <c r="E2046" s="1" t="s">
        <v>8418</v>
      </c>
      <c r="F2046" s="1"/>
      <c r="G2046" s="1" t="s">
        <v>70</v>
      </c>
      <c r="H2046" s="1" t="s">
        <v>93</v>
      </c>
      <c r="I2046" s="1">
        <v>505000.0</v>
      </c>
      <c r="J2046" s="1"/>
      <c r="K2046" s="1"/>
      <c r="L2046" s="1" t="s">
        <v>172</v>
      </c>
      <c r="M2046" s="1" t="s">
        <v>8419</v>
      </c>
      <c r="N2046" s="1" t="s">
        <v>142</v>
      </c>
      <c r="O2046" s="1" t="s">
        <v>143</v>
      </c>
      <c r="P2046" s="2">
        <v>43750.625</v>
      </c>
      <c r="Q2046" s="1" t="s">
        <v>373</v>
      </c>
      <c r="R2046" s="3">
        <v>43750.0</v>
      </c>
      <c r="S2046" s="1"/>
      <c r="T2046" s="1">
        <v>1507300.0</v>
      </c>
      <c r="U2046" s="1" t="s">
        <v>3161</v>
      </c>
      <c r="V2046" s="1" t="s">
        <v>193</v>
      </c>
      <c r="W2046" s="1" t="s">
        <v>177</v>
      </c>
      <c r="X2046" s="1"/>
      <c r="Y2046" s="1" t="str">
        <f>"02001035271201910"</f>
        <v>02001035271201910</v>
      </c>
      <c r="Z2046" s="1" t="s">
        <v>147</v>
      </c>
      <c r="AA2046" s="1" t="s">
        <v>8420</v>
      </c>
      <c r="AB2046" s="1" t="str">
        <f>"***142121**"</f>
        <v>***142121**</v>
      </c>
      <c r="AC2046" s="1"/>
      <c r="AD2046" s="1"/>
      <c r="AE2046" s="1"/>
      <c r="AF2046" s="1">
        <v>-52.541668</v>
      </c>
      <c r="AG2046" s="1">
        <v>-6.236944</v>
      </c>
      <c r="AH2046" s="1" t="s">
        <v>8421</v>
      </c>
      <c r="AI2046" s="1"/>
      <c r="AJ2046" s="1" t="s">
        <v>172</v>
      </c>
      <c r="AK2046" s="1"/>
      <c r="AL2046" s="1" t="s">
        <v>79</v>
      </c>
      <c r="AM2046" s="1" t="s">
        <v>65</v>
      </c>
      <c r="AN2046" s="1" t="s">
        <v>6258</v>
      </c>
      <c r="AO2046" s="2">
        <v>44130.0</v>
      </c>
      <c r="AP2046" s="2">
        <v>44130.4859837963</v>
      </c>
      <c r="AQ2046" s="1" t="s">
        <v>80</v>
      </c>
      <c r="AR2046" s="1" t="s">
        <v>650</v>
      </c>
      <c r="AS2046" s="1"/>
      <c r="AT2046" s="2">
        <v>44269.931099537</v>
      </c>
    </row>
    <row r="2047" ht="13.5" customHeight="1">
      <c r="A2047" s="1">
        <v>2035064.0</v>
      </c>
      <c r="B2047" s="1" t="s">
        <v>67</v>
      </c>
      <c r="C2047" s="1" t="s">
        <v>68</v>
      </c>
      <c r="D2047" s="1" t="s">
        <v>46</v>
      </c>
      <c r="E2047" s="1" t="s">
        <v>8422</v>
      </c>
      <c r="F2047" s="1"/>
      <c r="G2047" s="1" t="s">
        <v>70</v>
      </c>
      <c r="H2047" s="1" t="s">
        <v>93</v>
      </c>
      <c r="I2047" s="1">
        <v>487500.0</v>
      </c>
      <c r="J2047" s="1"/>
      <c r="K2047" s="1"/>
      <c r="L2047" s="1" t="s">
        <v>172</v>
      </c>
      <c r="M2047" s="1" t="s">
        <v>8423</v>
      </c>
      <c r="N2047" s="1" t="s">
        <v>142</v>
      </c>
      <c r="O2047" s="1" t="s">
        <v>143</v>
      </c>
      <c r="P2047" s="2">
        <v>43750.5</v>
      </c>
      <c r="Q2047" s="1" t="s">
        <v>373</v>
      </c>
      <c r="R2047" s="3">
        <v>43750.0</v>
      </c>
      <c r="S2047" s="1"/>
      <c r="T2047" s="1">
        <v>1200401.0</v>
      </c>
      <c r="U2047" s="1" t="s">
        <v>5366</v>
      </c>
      <c r="V2047" s="1" t="s">
        <v>498</v>
      </c>
      <c r="W2047" s="1" t="s">
        <v>177</v>
      </c>
      <c r="X2047" s="1"/>
      <c r="Y2047" s="1" t="str">
        <f>"02001005832202090"</f>
        <v>02001005832202090</v>
      </c>
      <c r="Z2047" s="1" t="s">
        <v>147</v>
      </c>
      <c r="AA2047" s="1" t="s">
        <v>8424</v>
      </c>
      <c r="AB2047" s="1" t="str">
        <f>"***505111**"</f>
        <v>***505111**</v>
      </c>
      <c r="AC2047" s="1"/>
      <c r="AD2047" s="1"/>
      <c r="AE2047" s="1"/>
      <c r="AF2047" s="1">
        <v>-68.765274</v>
      </c>
      <c r="AG2047" s="1">
        <v>-10.236389</v>
      </c>
      <c r="AH2047" s="1" t="s">
        <v>8425</v>
      </c>
      <c r="AI2047" s="1"/>
      <c r="AJ2047" s="1" t="s">
        <v>172</v>
      </c>
      <c r="AK2047" s="1"/>
      <c r="AL2047" s="1" t="s">
        <v>79</v>
      </c>
      <c r="AM2047" s="1" t="s">
        <v>65</v>
      </c>
      <c r="AN2047" s="1" t="s">
        <v>6258</v>
      </c>
      <c r="AO2047" s="2">
        <v>43894.0</v>
      </c>
      <c r="AP2047" s="2">
        <v>43894.486400463</v>
      </c>
      <c r="AQ2047" s="1" t="s">
        <v>80</v>
      </c>
      <c r="AR2047" s="1" t="s">
        <v>650</v>
      </c>
      <c r="AS2047" s="1"/>
      <c r="AT2047" s="2">
        <v>44269.931099537</v>
      </c>
    </row>
    <row r="2048" ht="13.5" customHeight="1">
      <c r="A2048" s="1">
        <v>2040449.0</v>
      </c>
      <c r="B2048" s="1" t="s">
        <v>67</v>
      </c>
      <c r="C2048" s="1" t="s">
        <v>68</v>
      </c>
      <c r="D2048" s="1" t="s">
        <v>46</v>
      </c>
      <c r="E2048" s="1" t="s">
        <v>8426</v>
      </c>
      <c r="F2048" s="1"/>
      <c r="G2048" s="1" t="s">
        <v>70</v>
      </c>
      <c r="H2048" s="1" t="s">
        <v>50</v>
      </c>
      <c r="I2048" s="1">
        <v>1400.0</v>
      </c>
      <c r="J2048" s="1"/>
      <c r="K2048" s="1"/>
      <c r="L2048" s="1" t="s">
        <v>415</v>
      </c>
      <c r="M2048" s="1" t="s">
        <v>8427</v>
      </c>
      <c r="N2048" s="1" t="s">
        <v>108</v>
      </c>
      <c r="O2048" s="1" t="s">
        <v>109</v>
      </c>
      <c r="P2048" s="2">
        <v>43749.75</v>
      </c>
      <c r="Q2048" s="1" t="s">
        <v>74</v>
      </c>
      <c r="R2048" s="3">
        <v>43748.0</v>
      </c>
      <c r="S2048" s="1" t="s">
        <v>184</v>
      </c>
      <c r="T2048" s="1">
        <v>1400100.0</v>
      </c>
      <c r="U2048" s="1" t="s">
        <v>185</v>
      </c>
      <c r="V2048" s="1" t="s">
        <v>186</v>
      </c>
      <c r="W2048" s="1" t="s">
        <v>177</v>
      </c>
      <c r="X2048" s="1"/>
      <c r="Y2048" s="1" t="str">
        <f>"02025001327202006"</f>
        <v>02025001327202006</v>
      </c>
      <c r="Z2048" s="1" t="s">
        <v>226</v>
      </c>
      <c r="AA2048" s="1" t="s">
        <v>8428</v>
      </c>
      <c r="AB2048" s="1" t="str">
        <f>"23821868000158"</f>
        <v>23821868000158</v>
      </c>
      <c r="AC2048" s="1"/>
      <c r="AD2048" s="1"/>
      <c r="AE2048" s="1"/>
      <c r="AF2048" s="1">
        <v>-60.737499</v>
      </c>
      <c r="AG2048" s="1">
        <v>2.826389</v>
      </c>
      <c r="AH2048" s="1" t="s">
        <v>8429</v>
      </c>
      <c r="AI2048" s="1"/>
      <c r="AJ2048" s="1" t="s">
        <v>415</v>
      </c>
      <c r="AK2048" s="1"/>
      <c r="AL2048" s="1" t="s">
        <v>79</v>
      </c>
      <c r="AM2048" s="1" t="s">
        <v>65</v>
      </c>
      <c r="AN2048" s="1" t="s">
        <v>1165</v>
      </c>
      <c r="AO2048" s="2">
        <v>44126.0</v>
      </c>
      <c r="AP2048" s="2">
        <v>44126.3509259259</v>
      </c>
      <c r="AQ2048" s="1" t="s">
        <v>80</v>
      </c>
      <c r="AR2048" s="1" t="s">
        <v>1136</v>
      </c>
      <c r="AS2048" s="1"/>
      <c r="AT2048" s="2">
        <v>44269.931099537</v>
      </c>
    </row>
    <row r="2049" ht="13.5" customHeight="1">
      <c r="A2049" s="1"/>
      <c r="B2049" s="1" t="s">
        <v>46</v>
      </c>
      <c r="C2049" s="1" t="s">
        <v>657</v>
      </c>
      <c r="D2049" s="1" t="s">
        <v>67</v>
      </c>
      <c r="E2049" s="1" t="s">
        <v>8430</v>
      </c>
      <c r="F2049" s="1"/>
      <c r="G2049" s="1" t="s">
        <v>49</v>
      </c>
      <c r="H2049" s="1" t="s">
        <v>50</v>
      </c>
      <c r="I2049" s="1">
        <v>31500.0</v>
      </c>
      <c r="J2049" s="1"/>
      <c r="K2049" s="1" t="s">
        <v>140</v>
      </c>
      <c r="L2049" s="1"/>
      <c r="M2049" s="1" t="s">
        <v>8431</v>
      </c>
      <c r="N2049" s="1" t="s">
        <v>977</v>
      </c>
      <c r="O2049" s="1" t="s">
        <v>978</v>
      </c>
      <c r="P2049" s="2">
        <v>43749.7180439815</v>
      </c>
      <c r="Q2049" s="1" t="s">
        <v>74</v>
      </c>
      <c r="R2049" s="1"/>
      <c r="S2049" s="1" t="s">
        <v>191</v>
      </c>
      <c r="T2049" s="1">
        <v>1505031.0</v>
      </c>
      <c r="U2049" s="1" t="s">
        <v>5123</v>
      </c>
      <c r="V2049" s="1" t="s">
        <v>193</v>
      </c>
      <c r="W2049" s="1" t="s">
        <v>177</v>
      </c>
      <c r="X2049" s="1" t="s">
        <v>8432</v>
      </c>
      <c r="Y2049" s="1"/>
      <c r="Z2049" s="1" t="s">
        <v>980</v>
      </c>
      <c r="AA2049" s="1" t="s">
        <v>8433</v>
      </c>
      <c r="AB2049" s="1" t="str">
        <f>"***027613**"</f>
        <v>***027613**</v>
      </c>
      <c r="AC2049" s="1"/>
      <c r="AD2049" s="1" t="s">
        <v>149</v>
      </c>
      <c r="AE2049" s="1"/>
      <c r="AF2049" s="1">
        <v>-56.025555</v>
      </c>
      <c r="AG2049" s="1">
        <v>-7.953333</v>
      </c>
      <c r="AH2049" s="1" t="s">
        <v>8434</v>
      </c>
      <c r="AI2049" s="1"/>
      <c r="AJ2049" s="1" t="s">
        <v>172</v>
      </c>
      <c r="AK2049" s="1"/>
      <c r="AL2049" s="1"/>
      <c r="AM2049" s="1" t="s">
        <v>65</v>
      </c>
      <c r="AN2049" s="1" t="s">
        <v>8435</v>
      </c>
      <c r="AO2049" s="1"/>
      <c r="AP2049" s="2">
        <v>43976.4307523148</v>
      </c>
      <c r="AQ2049" s="1"/>
      <c r="AR2049" s="1" t="s">
        <v>8436</v>
      </c>
      <c r="AS2049" s="1" t="s">
        <v>8437</v>
      </c>
      <c r="AT2049" s="2">
        <v>44269.931099537</v>
      </c>
    </row>
    <row r="2050" ht="13.5" customHeight="1">
      <c r="A2050" s="1">
        <v>2040111.0</v>
      </c>
      <c r="B2050" s="1" t="s">
        <v>67</v>
      </c>
      <c r="C2050" s="1" t="s">
        <v>68</v>
      </c>
      <c r="D2050" s="1" t="s">
        <v>46</v>
      </c>
      <c r="E2050" s="1" t="s">
        <v>8438</v>
      </c>
      <c r="F2050" s="1"/>
      <c r="G2050" s="1" t="s">
        <v>70</v>
      </c>
      <c r="H2050" s="1" t="s">
        <v>93</v>
      </c>
      <c r="I2050" s="1">
        <v>12500.0</v>
      </c>
      <c r="J2050" s="1"/>
      <c r="K2050" s="1"/>
      <c r="L2050" s="1" t="s">
        <v>358</v>
      </c>
      <c r="M2050" s="1" t="s">
        <v>8439</v>
      </c>
      <c r="N2050" s="1" t="s">
        <v>108</v>
      </c>
      <c r="O2050" s="1" t="s">
        <v>73</v>
      </c>
      <c r="P2050" s="2">
        <v>43749.6861111111</v>
      </c>
      <c r="Q2050" s="1" t="s">
        <v>373</v>
      </c>
      <c r="R2050" s="1"/>
      <c r="S2050" s="1"/>
      <c r="T2050" s="1">
        <v>4104808.0</v>
      </c>
      <c r="U2050" s="1" t="s">
        <v>8440</v>
      </c>
      <c r="V2050" s="1" t="s">
        <v>176</v>
      </c>
      <c r="W2050" s="1" t="s">
        <v>59</v>
      </c>
      <c r="X2050" s="1"/>
      <c r="Y2050" s="1" t="str">
        <f>"02057000628201901"</f>
        <v>02057000628201901</v>
      </c>
      <c r="Z2050" s="1" t="s">
        <v>226</v>
      </c>
      <c r="AA2050" s="1" t="s">
        <v>8441</v>
      </c>
      <c r="AB2050" s="1" t="str">
        <f>"10884190000100"</f>
        <v>10884190000100</v>
      </c>
      <c r="AC2050" s="1"/>
      <c r="AD2050" s="1" t="s">
        <v>116</v>
      </c>
      <c r="AE2050" s="1"/>
      <c r="AF2050" s="1">
        <v>-53.486667</v>
      </c>
      <c r="AG2050" s="1">
        <v>-24.98</v>
      </c>
      <c r="AH2050" s="1" t="s">
        <v>65</v>
      </c>
      <c r="AI2050" s="1"/>
      <c r="AJ2050" s="1"/>
      <c r="AK2050" s="1"/>
      <c r="AL2050" s="1" t="s">
        <v>118</v>
      </c>
      <c r="AM2050" s="1"/>
      <c r="AN2050" s="1"/>
      <c r="AO2050" s="2">
        <v>44110.7246527778</v>
      </c>
      <c r="AP2050" s="2">
        <v>44110.7246527778</v>
      </c>
      <c r="AQ2050" s="1" t="s">
        <v>80</v>
      </c>
      <c r="AR2050" s="1" t="s">
        <v>8442</v>
      </c>
      <c r="AS2050" s="1"/>
      <c r="AT2050" s="2">
        <v>44269.931099537</v>
      </c>
    </row>
    <row r="2051" ht="13.5" customHeight="1">
      <c r="A2051" s="1"/>
      <c r="B2051" s="1" t="s">
        <v>46</v>
      </c>
      <c r="C2051" s="1" t="s">
        <v>47</v>
      </c>
      <c r="D2051" s="1"/>
      <c r="E2051" s="1" t="s">
        <v>8443</v>
      </c>
      <c r="F2051" s="1"/>
      <c r="G2051" s="1" t="s">
        <v>49</v>
      </c>
      <c r="H2051" s="1" t="s">
        <v>50</v>
      </c>
      <c r="I2051" s="1">
        <v>21000.0</v>
      </c>
      <c r="J2051" s="1"/>
      <c r="K2051" s="1" t="s">
        <v>51</v>
      </c>
      <c r="L2051" s="1"/>
      <c r="M2051" s="1" t="s">
        <v>8444</v>
      </c>
      <c r="N2051" s="1" t="s">
        <v>72</v>
      </c>
      <c r="O2051" s="1" t="s">
        <v>1364</v>
      </c>
      <c r="P2051" s="2">
        <v>43749.6202430556</v>
      </c>
      <c r="Q2051" s="1" t="s">
        <v>74</v>
      </c>
      <c r="R2051" s="3">
        <v>43635.0</v>
      </c>
      <c r="S2051" s="1"/>
      <c r="T2051" s="1">
        <v>5102702.0</v>
      </c>
      <c r="U2051" s="1" t="s">
        <v>8445</v>
      </c>
      <c r="V2051" s="1" t="s">
        <v>164</v>
      </c>
      <c r="W2051" s="1" t="s">
        <v>177</v>
      </c>
      <c r="X2051" s="1"/>
      <c r="Y2051" s="1"/>
      <c r="Z2051" s="1"/>
      <c r="AA2051" s="1" t="s">
        <v>8446</v>
      </c>
      <c r="AB2051" s="1" t="str">
        <f>"***446358**"</f>
        <v>***446358**</v>
      </c>
      <c r="AC2051" s="1"/>
      <c r="AD2051" s="1" t="s">
        <v>62</v>
      </c>
      <c r="AE2051" s="1"/>
      <c r="AF2051" s="1">
        <v>-52.779999</v>
      </c>
      <c r="AG2051" s="1">
        <v>-13.035833</v>
      </c>
      <c r="AH2051" s="1" t="s">
        <v>8447</v>
      </c>
      <c r="AI2051" s="1"/>
      <c r="AJ2051" s="1" t="s">
        <v>167</v>
      </c>
      <c r="AK2051" s="1"/>
      <c r="AL2051" s="1"/>
      <c r="AM2051" s="1" t="s">
        <v>65</v>
      </c>
      <c r="AN2051" s="1" t="s">
        <v>132</v>
      </c>
      <c r="AO2051" s="1"/>
      <c r="AP2051" s="2">
        <v>44000.9332638889</v>
      </c>
      <c r="AQ2051" s="1"/>
      <c r="AR2051" s="1" t="s">
        <v>494</v>
      </c>
      <c r="AS2051" s="1"/>
      <c r="AT2051" s="2">
        <v>44269.931099537</v>
      </c>
    </row>
    <row r="2052" ht="13.5" customHeight="1">
      <c r="A2052" s="1"/>
      <c r="B2052" s="1" t="s">
        <v>46</v>
      </c>
      <c r="C2052" s="1" t="s">
        <v>47</v>
      </c>
      <c r="D2052" s="1"/>
      <c r="E2052" s="1" t="s">
        <v>8448</v>
      </c>
      <c r="F2052" s="1"/>
      <c r="G2052" s="1"/>
      <c r="H2052" s="1" t="s">
        <v>50</v>
      </c>
      <c r="I2052" s="1">
        <v>20000.0</v>
      </c>
      <c r="J2052" s="1"/>
      <c r="K2052" s="1" t="s">
        <v>51</v>
      </c>
      <c r="L2052" s="1"/>
      <c r="M2052" s="1" t="s">
        <v>8449</v>
      </c>
      <c r="N2052" s="1" t="s">
        <v>142</v>
      </c>
      <c r="O2052" s="1" t="s">
        <v>143</v>
      </c>
      <c r="P2052" s="2">
        <v>43749.6131828704</v>
      </c>
      <c r="Q2052" s="1" t="s">
        <v>74</v>
      </c>
      <c r="R2052" s="1"/>
      <c r="S2052" s="1"/>
      <c r="T2052" s="1">
        <v>1400233.0</v>
      </c>
      <c r="U2052" s="1" t="s">
        <v>8450</v>
      </c>
      <c r="V2052" s="1" t="s">
        <v>186</v>
      </c>
      <c r="W2052" s="1" t="s">
        <v>177</v>
      </c>
      <c r="X2052" s="1"/>
      <c r="Y2052" s="1"/>
      <c r="Z2052" s="1" t="s">
        <v>147</v>
      </c>
      <c r="AA2052" s="1" t="s">
        <v>8451</v>
      </c>
      <c r="AB2052" s="1" t="str">
        <f>"***273097**"</f>
        <v>***273097**</v>
      </c>
      <c r="AC2052" s="1"/>
      <c r="AD2052" s="1" t="s">
        <v>116</v>
      </c>
      <c r="AE2052" s="1"/>
      <c r="AF2052" s="1">
        <v>-61.126942</v>
      </c>
      <c r="AG2052" s="1">
        <v>1.823611</v>
      </c>
      <c r="AH2052" s="1" t="s">
        <v>8452</v>
      </c>
      <c r="AI2052" s="1"/>
      <c r="AJ2052" s="1" t="s">
        <v>415</v>
      </c>
      <c r="AK2052" s="1"/>
      <c r="AL2052" s="1"/>
      <c r="AM2052" s="1"/>
      <c r="AN2052" s="1" t="s">
        <v>1165</v>
      </c>
      <c r="AO2052" s="1"/>
      <c r="AP2052" s="2">
        <v>43749.6424537037</v>
      </c>
      <c r="AQ2052" s="1"/>
      <c r="AR2052" s="1" t="s">
        <v>793</v>
      </c>
      <c r="AS2052" s="1"/>
      <c r="AT2052" s="2">
        <v>44269.931099537</v>
      </c>
    </row>
    <row r="2053" ht="13.5" customHeight="1">
      <c r="A2053" s="1"/>
      <c r="B2053" s="1" t="s">
        <v>46</v>
      </c>
      <c r="C2053" s="1" t="s">
        <v>47</v>
      </c>
      <c r="D2053" s="1"/>
      <c r="E2053" s="1" t="s">
        <v>8453</v>
      </c>
      <c r="F2053" s="1"/>
      <c r="G2053" s="1"/>
      <c r="H2053" s="1" t="s">
        <v>93</v>
      </c>
      <c r="I2053" s="1">
        <v>10000.0</v>
      </c>
      <c r="J2053" s="1"/>
      <c r="K2053" s="1"/>
      <c r="L2053" s="1"/>
      <c r="M2053" s="1" t="s">
        <v>8454</v>
      </c>
      <c r="N2053" s="1" t="s">
        <v>53</v>
      </c>
      <c r="O2053" s="1" t="s">
        <v>54</v>
      </c>
      <c r="P2053" s="2">
        <v>43749.5647337963</v>
      </c>
      <c r="Q2053" s="1" t="s">
        <v>74</v>
      </c>
      <c r="R2053" s="3">
        <v>43760.0</v>
      </c>
      <c r="S2053" s="1"/>
      <c r="T2053" s="1">
        <v>2927408.0</v>
      </c>
      <c r="U2053" s="1" t="s">
        <v>8455</v>
      </c>
      <c r="V2053" s="1" t="s">
        <v>632</v>
      </c>
      <c r="W2053" s="1" t="s">
        <v>288</v>
      </c>
      <c r="X2053" s="1"/>
      <c r="Y2053" s="1"/>
      <c r="Z2053" s="1" t="s">
        <v>60</v>
      </c>
      <c r="AA2053" s="1" t="s">
        <v>8456</v>
      </c>
      <c r="AB2053" s="1" t="str">
        <f>"14918855000100"</f>
        <v>14918855000100</v>
      </c>
      <c r="AC2053" s="1"/>
      <c r="AD2053" s="1" t="s">
        <v>62</v>
      </c>
      <c r="AE2053" s="1"/>
      <c r="AF2053" s="1">
        <v>-38.501667</v>
      </c>
      <c r="AG2053" s="1">
        <v>-12.92139</v>
      </c>
      <c r="AH2053" s="1" t="s">
        <v>8457</v>
      </c>
      <c r="AI2053" s="1"/>
      <c r="AJ2053" s="1" t="s">
        <v>172</v>
      </c>
      <c r="AK2053" s="1"/>
      <c r="AL2053" s="1"/>
      <c r="AM2053" s="1" t="s">
        <v>65</v>
      </c>
      <c r="AN2053" s="1" t="s">
        <v>8458</v>
      </c>
      <c r="AO2053" s="1"/>
      <c r="AP2053" s="2">
        <v>43749.646724537</v>
      </c>
      <c r="AQ2053" s="1"/>
      <c r="AR2053" s="1" t="s">
        <v>8459</v>
      </c>
      <c r="AS2053" s="1"/>
      <c r="AT2053" s="2">
        <v>44269.931099537</v>
      </c>
    </row>
    <row r="2054" ht="13.5" customHeight="1">
      <c r="A2054" s="1"/>
      <c r="B2054" s="1" t="s">
        <v>46</v>
      </c>
      <c r="C2054" s="1" t="s">
        <v>47</v>
      </c>
      <c r="D2054" s="1"/>
      <c r="E2054" s="1" t="s">
        <v>8460</v>
      </c>
      <c r="F2054" s="1"/>
      <c r="G2054" s="1" t="s">
        <v>49</v>
      </c>
      <c r="H2054" s="1" t="s">
        <v>93</v>
      </c>
      <c r="I2054" s="1">
        <v>100000.0</v>
      </c>
      <c r="J2054" s="1"/>
      <c r="K2054" s="1"/>
      <c r="L2054" s="1"/>
      <c r="M2054" s="1" t="s">
        <v>8461</v>
      </c>
      <c r="N2054" s="1" t="s">
        <v>142</v>
      </c>
      <c r="O2054" s="1" t="s">
        <v>143</v>
      </c>
      <c r="P2054" s="2">
        <v>43749.546400463</v>
      </c>
      <c r="Q2054" s="1" t="s">
        <v>8462</v>
      </c>
      <c r="R2054" s="1"/>
      <c r="S2054" s="1"/>
      <c r="T2054" s="1">
        <v>1505650.0</v>
      </c>
      <c r="U2054" s="1" t="s">
        <v>4508</v>
      </c>
      <c r="V2054" s="1" t="s">
        <v>193</v>
      </c>
      <c r="W2054" s="1" t="s">
        <v>177</v>
      </c>
      <c r="X2054" s="1"/>
      <c r="Y2054" s="1"/>
      <c r="Z2054" s="1" t="s">
        <v>147</v>
      </c>
      <c r="AA2054" s="1" t="s">
        <v>8463</v>
      </c>
      <c r="AB2054" s="1" t="str">
        <f>"04307049000142"</f>
        <v>04307049000142</v>
      </c>
      <c r="AC2054" s="1"/>
      <c r="AD2054" s="1" t="s">
        <v>116</v>
      </c>
      <c r="AE2054" s="1"/>
      <c r="AF2054" s="1">
        <v>-54.563053</v>
      </c>
      <c r="AG2054" s="1">
        <v>-3.483056</v>
      </c>
      <c r="AH2054" s="1" t="s">
        <v>8464</v>
      </c>
      <c r="AI2054" s="1"/>
      <c r="AJ2054" s="1" t="s">
        <v>765</v>
      </c>
      <c r="AK2054" s="1"/>
      <c r="AL2054" s="1"/>
      <c r="AM2054" s="1" t="s">
        <v>65</v>
      </c>
      <c r="AN2054" s="1" t="s">
        <v>1146</v>
      </c>
      <c r="AO2054" s="1"/>
      <c r="AP2054" s="2">
        <v>44154.891712963</v>
      </c>
      <c r="AQ2054" s="1"/>
      <c r="AR2054" s="1" t="s">
        <v>644</v>
      </c>
      <c r="AS2054" s="1"/>
      <c r="AT2054" s="2">
        <v>44269.931099537</v>
      </c>
    </row>
    <row r="2055" ht="13.5" customHeight="1">
      <c r="A2055" s="1"/>
      <c r="B2055" s="1" t="s">
        <v>46</v>
      </c>
      <c r="C2055" s="1" t="s">
        <v>47</v>
      </c>
      <c r="D2055" s="1"/>
      <c r="E2055" s="1" t="s">
        <v>8465</v>
      </c>
      <c r="F2055" s="1"/>
      <c r="G2055" s="1"/>
      <c r="H2055" s="1" t="s">
        <v>93</v>
      </c>
      <c r="I2055" s="1">
        <v>1000.0</v>
      </c>
      <c r="J2055" s="1"/>
      <c r="K2055" s="1"/>
      <c r="L2055" s="1"/>
      <c r="M2055" s="1" t="s">
        <v>8466</v>
      </c>
      <c r="N2055" s="1" t="s">
        <v>108</v>
      </c>
      <c r="O2055" s="1" t="s">
        <v>109</v>
      </c>
      <c r="P2055" s="2">
        <v>43749.5300925926</v>
      </c>
      <c r="Q2055" s="1" t="s">
        <v>74</v>
      </c>
      <c r="R2055" s="3">
        <v>43744.0</v>
      </c>
      <c r="S2055" s="1"/>
      <c r="T2055" s="1">
        <v>1200401.0</v>
      </c>
      <c r="U2055" s="1" t="s">
        <v>5366</v>
      </c>
      <c r="V2055" s="1" t="s">
        <v>498</v>
      </c>
      <c r="W2055" s="1" t="s">
        <v>177</v>
      </c>
      <c r="X2055" s="1"/>
      <c r="Y2055" s="1"/>
      <c r="Z2055" s="1" t="s">
        <v>226</v>
      </c>
      <c r="AA2055" s="1" t="s">
        <v>7774</v>
      </c>
      <c r="AB2055" s="1" t="str">
        <f>"***255442**"</f>
        <v>***255442**</v>
      </c>
      <c r="AC2055" s="1"/>
      <c r="AD2055" s="1" t="s">
        <v>62</v>
      </c>
      <c r="AE2055" s="1"/>
      <c r="AF2055" s="1">
        <v>-68.760277</v>
      </c>
      <c r="AG2055" s="1">
        <v>-10.223611</v>
      </c>
      <c r="AH2055" s="1" t="s">
        <v>7775</v>
      </c>
      <c r="AI2055" s="1"/>
      <c r="AJ2055" s="1" t="s">
        <v>172</v>
      </c>
      <c r="AK2055" s="1"/>
      <c r="AL2055" s="1"/>
      <c r="AM2055" s="1" t="s">
        <v>65</v>
      </c>
      <c r="AN2055" s="1" t="s">
        <v>6258</v>
      </c>
      <c r="AO2055" s="1"/>
      <c r="AP2055" s="2">
        <v>43753.7809259259</v>
      </c>
      <c r="AQ2055" s="1"/>
      <c r="AR2055" s="1" t="s">
        <v>2843</v>
      </c>
      <c r="AS2055" s="1"/>
      <c r="AT2055" s="2">
        <v>44269.931099537</v>
      </c>
    </row>
    <row r="2056" ht="13.5" customHeight="1">
      <c r="A2056" s="1">
        <v>2037932.0</v>
      </c>
      <c r="B2056" s="1" t="s">
        <v>67</v>
      </c>
      <c r="C2056" s="1" t="s">
        <v>68</v>
      </c>
      <c r="D2056" s="1" t="s">
        <v>46</v>
      </c>
      <c r="E2056" s="1" t="s">
        <v>8467</v>
      </c>
      <c r="F2056" s="1"/>
      <c r="G2056" s="1" t="s">
        <v>70</v>
      </c>
      <c r="H2056" s="1" t="s">
        <v>50</v>
      </c>
      <c r="I2056" s="1">
        <v>50500.0</v>
      </c>
      <c r="J2056" s="1"/>
      <c r="K2056" s="1"/>
      <c r="L2056" s="1" t="s">
        <v>172</v>
      </c>
      <c r="M2056" s="1" t="s">
        <v>8468</v>
      </c>
      <c r="N2056" s="1" t="s">
        <v>72</v>
      </c>
      <c r="O2056" s="1" t="s">
        <v>213</v>
      </c>
      <c r="P2056" s="2">
        <v>43749.4166666667</v>
      </c>
      <c r="Q2056" s="1" t="s">
        <v>373</v>
      </c>
      <c r="R2056" s="3">
        <v>43749.0</v>
      </c>
      <c r="S2056" s="1"/>
      <c r="T2056" s="1">
        <v>1507300.0</v>
      </c>
      <c r="U2056" s="1" t="s">
        <v>3161</v>
      </c>
      <c r="V2056" s="1" t="s">
        <v>193</v>
      </c>
      <c r="W2056" s="1" t="s">
        <v>177</v>
      </c>
      <c r="X2056" s="1"/>
      <c r="Y2056" s="1" t="str">
        <f>"02001003129202047"</f>
        <v>02001003129202047</v>
      </c>
      <c r="Z2056" s="1" t="s">
        <v>215</v>
      </c>
      <c r="AA2056" s="1" t="s">
        <v>8469</v>
      </c>
      <c r="AB2056" s="1" t="str">
        <f>"***875882**"</f>
        <v>***875882**</v>
      </c>
      <c r="AC2056" s="1"/>
      <c r="AD2056" s="1"/>
      <c r="AE2056" s="1"/>
      <c r="AF2056" s="1">
        <v>-51.998611</v>
      </c>
      <c r="AG2056" s="1">
        <v>-6.646945</v>
      </c>
      <c r="AH2056" s="1" t="s">
        <v>8470</v>
      </c>
      <c r="AI2056" s="1"/>
      <c r="AJ2056" s="1" t="s">
        <v>172</v>
      </c>
      <c r="AK2056" s="1"/>
      <c r="AL2056" s="1" t="s">
        <v>79</v>
      </c>
      <c r="AM2056" s="1" t="s">
        <v>65</v>
      </c>
      <c r="AN2056" s="1" t="s">
        <v>6258</v>
      </c>
      <c r="AO2056" s="2">
        <v>44014.0</v>
      </c>
      <c r="AP2056" s="2">
        <v>44014.6797569444</v>
      </c>
      <c r="AQ2056" s="1" t="s">
        <v>80</v>
      </c>
      <c r="AR2056" s="1" t="s">
        <v>909</v>
      </c>
      <c r="AS2056" s="1"/>
      <c r="AT2056" s="2">
        <v>44269.931099537</v>
      </c>
    </row>
    <row r="2057" ht="13.5" customHeight="1">
      <c r="A2057" s="1">
        <v>2038138.0</v>
      </c>
      <c r="B2057" s="1" t="s">
        <v>67</v>
      </c>
      <c r="C2057" s="1" t="s">
        <v>68</v>
      </c>
      <c r="D2057" s="1" t="s">
        <v>46</v>
      </c>
      <c r="E2057" s="1" t="s">
        <v>8471</v>
      </c>
      <c r="F2057" s="1"/>
      <c r="G2057" s="1" t="s">
        <v>70</v>
      </c>
      <c r="H2057" s="1" t="s">
        <v>50</v>
      </c>
      <c r="I2057" s="1">
        <v>41500.0</v>
      </c>
      <c r="J2057" s="1"/>
      <c r="K2057" s="1"/>
      <c r="L2057" s="1" t="s">
        <v>8472</v>
      </c>
      <c r="M2057" s="1" t="s">
        <v>8473</v>
      </c>
      <c r="N2057" s="1" t="s">
        <v>72</v>
      </c>
      <c r="O2057" s="1" t="s">
        <v>73</v>
      </c>
      <c r="P2057" s="2">
        <v>43749.4166666667</v>
      </c>
      <c r="Q2057" s="1" t="s">
        <v>55</v>
      </c>
      <c r="R2057" s="1"/>
      <c r="S2057" s="1"/>
      <c r="T2057" s="1">
        <v>4104808.0</v>
      </c>
      <c r="U2057" s="1" t="s">
        <v>8440</v>
      </c>
      <c r="V2057" s="1" t="s">
        <v>176</v>
      </c>
      <c r="W2057" s="1" t="s">
        <v>59</v>
      </c>
      <c r="X2057" s="1"/>
      <c r="Y2057" s="1"/>
      <c r="Z2057" s="1" t="s">
        <v>76</v>
      </c>
      <c r="AA2057" s="1" t="s">
        <v>8441</v>
      </c>
      <c r="AB2057" s="1" t="str">
        <f t="shared" ref="AB2057:AB2058" si="126">"10884190000100"</f>
        <v>10884190000100</v>
      </c>
      <c r="AC2057" s="1"/>
      <c r="AD2057" s="1"/>
      <c r="AE2057" s="1"/>
      <c r="AF2057" s="1">
        <v>-53.486668</v>
      </c>
      <c r="AG2057" s="1">
        <v>-24.977501</v>
      </c>
      <c r="AH2057" s="1" t="s">
        <v>8474</v>
      </c>
      <c r="AI2057" s="1"/>
      <c r="AJ2057" s="1" t="s">
        <v>8472</v>
      </c>
      <c r="AK2057" s="1"/>
      <c r="AL2057" s="1" t="s">
        <v>79</v>
      </c>
      <c r="AM2057" s="1" t="s">
        <v>65</v>
      </c>
      <c r="AN2057" s="1" t="s">
        <v>8475</v>
      </c>
      <c r="AO2057" s="2">
        <v>44025.0</v>
      </c>
      <c r="AP2057" s="2">
        <v>44025.3862268519</v>
      </c>
      <c r="AQ2057" s="1" t="s">
        <v>80</v>
      </c>
      <c r="AR2057" s="1" t="s">
        <v>81</v>
      </c>
      <c r="AS2057" s="1"/>
      <c r="AT2057" s="2">
        <v>44269.931099537</v>
      </c>
    </row>
    <row r="2058" ht="13.5" customHeight="1">
      <c r="A2058" s="1">
        <v>2037735.0</v>
      </c>
      <c r="B2058" s="1" t="s">
        <v>67</v>
      </c>
      <c r="C2058" s="1" t="s">
        <v>68</v>
      </c>
      <c r="D2058" s="1" t="s">
        <v>46</v>
      </c>
      <c r="E2058" s="1" t="s">
        <v>8476</v>
      </c>
      <c r="F2058" s="1"/>
      <c r="G2058" s="1" t="s">
        <v>70</v>
      </c>
      <c r="H2058" s="1" t="s">
        <v>93</v>
      </c>
      <c r="I2058" s="1">
        <v>101249.91</v>
      </c>
      <c r="J2058" s="1"/>
      <c r="K2058" s="1"/>
      <c r="L2058" s="1" t="s">
        <v>8472</v>
      </c>
      <c r="M2058" s="1" t="s">
        <v>8477</v>
      </c>
      <c r="N2058" s="1" t="s">
        <v>142</v>
      </c>
      <c r="O2058" s="1" t="s">
        <v>143</v>
      </c>
      <c r="P2058" s="2">
        <v>43749.2916666667</v>
      </c>
      <c r="Q2058" s="1" t="s">
        <v>373</v>
      </c>
      <c r="R2058" s="3">
        <v>43749.0</v>
      </c>
      <c r="S2058" s="1"/>
      <c r="T2058" s="1">
        <v>4104808.0</v>
      </c>
      <c r="U2058" s="1" t="s">
        <v>8440</v>
      </c>
      <c r="V2058" s="1" t="s">
        <v>176</v>
      </c>
      <c r="W2058" s="1" t="s">
        <v>59</v>
      </c>
      <c r="X2058" s="1"/>
      <c r="Y2058" s="1"/>
      <c r="Z2058" s="1" t="s">
        <v>147</v>
      </c>
      <c r="AA2058" s="1" t="s">
        <v>8441</v>
      </c>
      <c r="AB2058" s="1" t="str">
        <f t="shared" si="126"/>
        <v>10884190000100</v>
      </c>
      <c r="AC2058" s="1"/>
      <c r="AD2058" s="1"/>
      <c r="AE2058" s="1"/>
      <c r="AF2058" s="1">
        <v>-53.486668</v>
      </c>
      <c r="AG2058" s="1">
        <v>-24.977222</v>
      </c>
      <c r="AH2058" s="1" t="s">
        <v>8478</v>
      </c>
      <c r="AI2058" s="1"/>
      <c r="AJ2058" s="1" t="s">
        <v>8472</v>
      </c>
      <c r="AK2058" s="1"/>
      <c r="AL2058" s="1" t="s">
        <v>79</v>
      </c>
      <c r="AM2058" s="1" t="s">
        <v>65</v>
      </c>
      <c r="AN2058" s="1" t="s">
        <v>8475</v>
      </c>
      <c r="AO2058" s="2">
        <v>44008.0</v>
      </c>
      <c r="AP2058" s="2">
        <v>44008.458125</v>
      </c>
      <c r="AQ2058" s="1" t="s">
        <v>80</v>
      </c>
      <c r="AR2058" s="1" t="s">
        <v>181</v>
      </c>
      <c r="AS2058" s="1"/>
      <c r="AT2058" s="2">
        <v>44269.931099537</v>
      </c>
    </row>
    <row r="2059" ht="13.5" customHeight="1">
      <c r="A2059" s="1"/>
      <c r="B2059" s="1" t="s">
        <v>46</v>
      </c>
      <c r="C2059" s="1" t="s">
        <v>47</v>
      </c>
      <c r="D2059" s="1"/>
      <c r="E2059" s="1" t="s">
        <v>8479</v>
      </c>
      <c r="F2059" s="1"/>
      <c r="G2059" s="1"/>
      <c r="H2059" s="1" t="s">
        <v>93</v>
      </c>
      <c r="I2059" s="1">
        <v>111246.0</v>
      </c>
      <c r="J2059" s="1"/>
      <c r="K2059" s="1"/>
      <c r="L2059" s="1"/>
      <c r="M2059" s="1" t="s">
        <v>8480</v>
      </c>
      <c r="N2059" s="1" t="s">
        <v>142</v>
      </c>
      <c r="O2059" s="1" t="s">
        <v>143</v>
      </c>
      <c r="P2059" s="2">
        <v>43748.8364467593</v>
      </c>
      <c r="Q2059" s="1" t="s">
        <v>74</v>
      </c>
      <c r="R2059" s="1"/>
      <c r="S2059" s="1"/>
      <c r="T2059" s="1">
        <v>5103700.0</v>
      </c>
      <c r="U2059" s="1" t="s">
        <v>5945</v>
      </c>
      <c r="V2059" s="1" t="s">
        <v>164</v>
      </c>
      <c r="W2059" s="1" t="s">
        <v>177</v>
      </c>
      <c r="X2059" s="1"/>
      <c r="Y2059" s="1"/>
      <c r="Z2059" s="1" t="s">
        <v>147</v>
      </c>
      <c r="AA2059" s="1" t="s">
        <v>8481</v>
      </c>
      <c r="AB2059" s="1" t="str">
        <f>"***452311**"</f>
        <v>***452311**</v>
      </c>
      <c r="AC2059" s="1"/>
      <c r="AD2059" s="1" t="s">
        <v>149</v>
      </c>
      <c r="AE2059" s="1"/>
      <c r="AF2059" s="1">
        <v>-54.941669</v>
      </c>
      <c r="AG2059" s="1">
        <v>-12.559167</v>
      </c>
      <c r="AH2059" s="1" t="s">
        <v>8482</v>
      </c>
      <c r="AI2059" s="1"/>
      <c r="AJ2059" s="1" t="s">
        <v>336</v>
      </c>
      <c r="AK2059" s="1"/>
      <c r="AL2059" s="1"/>
      <c r="AM2059" s="1" t="s">
        <v>65</v>
      </c>
      <c r="AN2059" s="1" t="s">
        <v>152</v>
      </c>
      <c r="AO2059" s="1"/>
      <c r="AP2059" s="2">
        <v>43774.7071527778</v>
      </c>
      <c r="AQ2059" s="1"/>
      <c r="AR2059" s="1" t="s">
        <v>613</v>
      </c>
      <c r="AS2059" s="1"/>
      <c r="AT2059" s="2">
        <v>44269.931099537</v>
      </c>
    </row>
    <row r="2060" ht="13.5" customHeight="1">
      <c r="A2060" s="1">
        <v>2044312.0</v>
      </c>
      <c r="B2060" s="1" t="s">
        <v>67</v>
      </c>
      <c r="C2060" s="1" t="s">
        <v>68</v>
      </c>
      <c r="D2060" s="1" t="s">
        <v>46</v>
      </c>
      <c r="E2060" s="1" t="s">
        <v>8483</v>
      </c>
      <c r="F2060" s="1"/>
      <c r="G2060" s="1" t="s">
        <v>70</v>
      </c>
      <c r="H2060" s="1" t="s">
        <v>50</v>
      </c>
      <c r="I2060" s="1">
        <v>7200.0</v>
      </c>
      <c r="J2060" s="1"/>
      <c r="K2060" s="1"/>
      <c r="L2060" s="1" t="s">
        <v>800</v>
      </c>
      <c r="M2060" s="1" t="s">
        <v>8484</v>
      </c>
      <c r="N2060" s="1" t="s">
        <v>108</v>
      </c>
      <c r="O2060" s="1" t="s">
        <v>109</v>
      </c>
      <c r="P2060" s="2">
        <v>43748.7916666667</v>
      </c>
      <c r="Q2060" s="1" t="s">
        <v>74</v>
      </c>
      <c r="R2060" s="3">
        <v>43755.0</v>
      </c>
      <c r="S2060" s="1"/>
      <c r="T2060" s="1">
        <v>1600600.0</v>
      </c>
      <c r="U2060" s="1" t="s">
        <v>3197</v>
      </c>
      <c r="V2060" s="1" t="s">
        <v>797</v>
      </c>
      <c r="W2060" s="1" t="s">
        <v>177</v>
      </c>
      <c r="X2060" s="1"/>
      <c r="Y2060" s="1"/>
      <c r="Z2060" s="1" t="s">
        <v>226</v>
      </c>
      <c r="AA2060" s="1" t="s">
        <v>8485</v>
      </c>
      <c r="AB2060" s="1" t="str">
        <f t="shared" ref="AB2060:AB2061" si="127">"84411594000113"</f>
        <v>84411594000113</v>
      </c>
      <c r="AC2060" s="1"/>
      <c r="AD2060" s="1"/>
      <c r="AE2060" s="1"/>
      <c r="AF2060" s="1">
        <v>-51.165279</v>
      </c>
      <c r="AG2060" s="1">
        <v>-0.059167</v>
      </c>
      <c r="AH2060" s="1" t="s">
        <v>8486</v>
      </c>
      <c r="AI2060" s="1"/>
      <c r="AJ2060" s="1" t="s">
        <v>800</v>
      </c>
      <c r="AK2060" s="1"/>
      <c r="AL2060" s="1" t="s">
        <v>79</v>
      </c>
      <c r="AM2060" s="1" t="s">
        <v>65</v>
      </c>
      <c r="AN2060" s="1" t="s">
        <v>8487</v>
      </c>
      <c r="AO2060" s="2">
        <v>44267.0</v>
      </c>
      <c r="AP2060" s="2">
        <v>44267.7300462963</v>
      </c>
      <c r="AQ2060" s="1" t="s">
        <v>80</v>
      </c>
      <c r="AR2060" s="1" t="s">
        <v>1136</v>
      </c>
      <c r="AS2060" s="1"/>
      <c r="AT2060" s="2">
        <v>44269.931099537</v>
      </c>
    </row>
    <row r="2061" ht="13.5" customHeight="1">
      <c r="A2061" s="1">
        <v>2044313.0</v>
      </c>
      <c r="B2061" s="1" t="s">
        <v>67</v>
      </c>
      <c r="C2061" s="1" t="s">
        <v>68</v>
      </c>
      <c r="D2061" s="1" t="s">
        <v>46</v>
      </c>
      <c r="E2061" s="1" t="s">
        <v>8488</v>
      </c>
      <c r="F2061" s="1"/>
      <c r="G2061" s="1" t="s">
        <v>70</v>
      </c>
      <c r="H2061" s="1" t="s">
        <v>93</v>
      </c>
      <c r="I2061" s="1">
        <v>1800.0</v>
      </c>
      <c r="J2061" s="1"/>
      <c r="K2061" s="1"/>
      <c r="L2061" s="1" t="s">
        <v>800</v>
      </c>
      <c r="M2061" s="1" t="s">
        <v>8489</v>
      </c>
      <c r="N2061" s="1" t="s">
        <v>108</v>
      </c>
      <c r="O2061" s="1" t="s">
        <v>109</v>
      </c>
      <c r="P2061" s="2">
        <v>43748.7916666667</v>
      </c>
      <c r="Q2061" s="1" t="s">
        <v>74</v>
      </c>
      <c r="R2061" s="3">
        <v>43755.0</v>
      </c>
      <c r="S2061" s="1"/>
      <c r="T2061" s="1">
        <v>1600600.0</v>
      </c>
      <c r="U2061" s="1" t="s">
        <v>3197</v>
      </c>
      <c r="V2061" s="1" t="s">
        <v>797</v>
      </c>
      <c r="W2061" s="1" t="s">
        <v>177</v>
      </c>
      <c r="X2061" s="1"/>
      <c r="Y2061" s="1"/>
      <c r="Z2061" s="1" t="s">
        <v>226</v>
      </c>
      <c r="AA2061" s="1" t="s">
        <v>8485</v>
      </c>
      <c r="AB2061" s="1" t="str">
        <f t="shared" si="127"/>
        <v>84411594000113</v>
      </c>
      <c r="AC2061" s="1"/>
      <c r="AD2061" s="1"/>
      <c r="AE2061" s="1"/>
      <c r="AF2061" s="1">
        <v>-51.165279</v>
      </c>
      <c r="AG2061" s="1">
        <v>-0.059167</v>
      </c>
      <c r="AH2061" s="1" t="s">
        <v>8490</v>
      </c>
      <c r="AI2061" s="1"/>
      <c r="AJ2061" s="1" t="s">
        <v>800</v>
      </c>
      <c r="AK2061" s="1"/>
      <c r="AL2061" s="1" t="s">
        <v>79</v>
      </c>
      <c r="AM2061" s="1" t="s">
        <v>65</v>
      </c>
      <c r="AN2061" s="1" t="s">
        <v>8487</v>
      </c>
      <c r="AO2061" s="2">
        <v>44267.0</v>
      </c>
      <c r="AP2061" s="2">
        <v>44267.7302083333</v>
      </c>
      <c r="AQ2061" s="1" t="s">
        <v>80</v>
      </c>
      <c r="AR2061" s="1" t="s">
        <v>1149</v>
      </c>
      <c r="AS2061" s="1"/>
      <c r="AT2061" s="2">
        <v>44269.931099537</v>
      </c>
    </row>
    <row r="2062" ht="13.5" customHeight="1">
      <c r="A2062" s="1"/>
      <c r="B2062" s="1" t="s">
        <v>46</v>
      </c>
      <c r="C2062" s="1" t="s">
        <v>47</v>
      </c>
      <c r="D2062" s="1"/>
      <c r="E2062" s="1" t="s">
        <v>8491</v>
      </c>
      <c r="F2062" s="1"/>
      <c r="G2062" s="1"/>
      <c r="H2062" s="1" t="s">
        <v>93</v>
      </c>
      <c r="I2062" s="1">
        <v>1000.0</v>
      </c>
      <c r="J2062" s="1"/>
      <c r="K2062" s="1"/>
      <c r="L2062" s="1"/>
      <c r="M2062" s="1" t="s">
        <v>8492</v>
      </c>
      <c r="N2062" s="1" t="s">
        <v>95</v>
      </c>
      <c r="O2062" s="1" t="s">
        <v>96</v>
      </c>
      <c r="P2062" s="2">
        <v>43748.7524768518</v>
      </c>
      <c r="Q2062" s="1" t="s">
        <v>373</v>
      </c>
      <c r="R2062" s="1"/>
      <c r="S2062" s="1"/>
      <c r="T2062" s="1">
        <v>3202306.0</v>
      </c>
      <c r="U2062" s="1" t="s">
        <v>8493</v>
      </c>
      <c r="V2062" s="1" t="s">
        <v>403</v>
      </c>
      <c r="W2062" s="1" t="s">
        <v>59</v>
      </c>
      <c r="X2062" s="1"/>
      <c r="Y2062" s="1"/>
      <c r="Z2062" s="1" t="s">
        <v>98</v>
      </c>
      <c r="AA2062" s="1" t="s">
        <v>8494</v>
      </c>
      <c r="AB2062" s="1" t="str">
        <f>"***018217**"</f>
        <v>***018217**</v>
      </c>
      <c r="AC2062" s="1"/>
      <c r="AD2062" s="1" t="s">
        <v>62</v>
      </c>
      <c r="AE2062" s="1"/>
      <c r="AF2062" s="1">
        <v>-41.6875</v>
      </c>
      <c r="AG2062" s="1">
        <v>-20.778055</v>
      </c>
      <c r="AH2062" s="1" t="s">
        <v>8495</v>
      </c>
      <c r="AI2062" s="1"/>
      <c r="AJ2062" s="1" t="s">
        <v>406</v>
      </c>
      <c r="AK2062" s="1"/>
      <c r="AL2062" s="1"/>
      <c r="AM2062" s="1"/>
      <c r="AN2062" s="1" t="s">
        <v>168</v>
      </c>
      <c r="AO2062" s="1"/>
      <c r="AP2062" s="2">
        <v>43748.779224537</v>
      </c>
      <c r="AQ2062" s="1"/>
      <c r="AR2062" s="1" t="s">
        <v>103</v>
      </c>
      <c r="AS2062" s="1"/>
      <c r="AT2062" s="2">
        <v>44269.931099537</v>
      </c>
    </row>
    <row r="2063" ht="13.5" customHeight="1">
      <c r="A2063" s="1">
        <v>2044311.0</v>
      </c>
      <c r="B2063" s="1" t="s">
        <v>67</v>
      </c>
      <c r="C2063" s="1" t="s">
        <v>68</v>
      </c>
      <c r="D2063" s="1" t="s">
        <v>46</v>
      </c>
      <c r="E2063" s="1" t="s">
        <v>8496</v>
      </c>
      <c r="F2063" s="1"/>
      <c r="G2063" s="1" t="s">
        <v>70</v>
      </c>
      <c r="H2063" s="1" t="s">
        <v>93</v>
      </c>
      <c r="I2063" s="1">
        <v>14000.0</v>
      </c>
      <c r="J2063" s="1"/>
      <c r="K2063" s="1"/>
      <c r="L2063" s="1" t="s">
        <v>800</v>
      </c>
      <c r="M2063" s="1" t="s">
        <v>8497</v>
      </c>
      <c r="N2063" s="1" t="s">
        <v>142</v>
      </c>
      <c r="O2063" s="1" t="s">
        <v>143</v>
      </c>
      <c r="P2063" s="2">
        <v>43748.6666666667</v>
      </c>
      <c r="Q2063" s="1" t="s">
        <v>74</v>
      </c>
      <c r="R2063" s="3">
        <v>43755.0</v>
      </c>
      <c r="S2063" s="1"/>
      <c r="T2063" s="1">
        <v>1600600.0</v>
      </c>
      <c r="U2063" s="1" t="s">
        <v>3197</v>
      </c>
      <c r="V2063" s="1" t="s">
        <v>797</v>
      </c>
      <c r="W2063" s="1" t="s">
        <v>177</v>
      </c>
      <c r="X2063" s="1"/>
      <c r="Y2063" s="1"/>
      <c r="Z2063" s="1" t="s">
        <v>147</v>
      </c>
      <c r="AA2063" s="1" t="s">
        <v>8485</v>
      </c>
      <c r="AB2063" s="1" t="str">
        <f>"84411594000113"</f>
        <v>84411594000113</v>
      </c>
      <c r="AC2063" s="1"/>
      <c r="AD2063" s="1"/>
      <c r="AE2063" s="1"/>
      <c r="AF2063" s="1">
        <v>-51.165279</v>
      </c>
      <c r="AG2063" s="1">
        <v>-0.059167</v>
      </c>
      <c r="AH2063" s="1" t="s">
        <v>8498</v>
      </c>
      <c r="AI2063" s="1"/>
      <c r="AJ2063" s="1" t="s">
        <v>800</v>
      </c>
      <c r="AK2063" s="1"/>
      <c r="AL2063" s="1" t="s">
        <v>79</v>
      </c>
      <c r="AM2063" s="1" t="s">
        <v>65</v>
      </c>
      <c r="AN2063" s="1" t="s">
        <v>8487</v>
      </c>
      <c r="AO2063" s="2">
        <v>44267.0</v>
      </c>
      <c r="AP2063" s="2">
        <v>44267.7297337963</v>
      </c>
      <c r="AQ2063" s="1" t="s">
        <v>80</v>
      </c>
      <c r="AR2063" s="1" t="s">
        <v>6654</v>
      </c>
      <c r="AS2063" s="1"/>
      <c r="AT2063" s="2">
        <v>44269.931099537</v>
      </c>
    </row>
    <row r="2064" ht="13.5" customHeight="1">
      <c r="A2064" s="1"/>
      <c r="B2064" s="1" t="s">
        <v>46</v>
      </c>
      <c r="C2064" s="1" t="s">
        <v>47</v>
      </c>
      <c r="D2064" s="1"/>
      <c r="E2064" s="1" t="s">
        <v>8499</v>
      </c>
      <c r="F2064" s="1"/>
      <c r="G2064" s="1"/>
      <c r="H2064" s="1" t="s">
        <v>93</v>
      </c>
      <c r="I2064" s="1">
        <v>10500.0</v>
      </c>
      <c r="J2064" s="1"/>
      <c r="K2064" s="1" t="s">
        <v>51</v>
      </c>
      <c r="L2064" s="1"/>
      <c r="M2064" s="1" t="s">
        <v>8500</v>
      </c>
      <c r="N2064" s="1" t="s">
        <v>977</v>
      </c>
      <c r="O2064" s="1" t="s">
        <v>978</v>
      </c>
      <c r="P2064" s="2">
        <v>43748.6567824074</v>
      </c>
      <c r="Q2064" s="1"/>
      <c r="R2064" s="1"/>
      <c r="S2064" s="1"/>
      <c r="T2064" s="1">
        <v>4313508.0</v>
      </c>
      <c r="U2064" s="1" t="s">
        <v>8501</v>
      </c>
      <c r="V2064" s="1" t="s">
        <v>145</v>
      </c>
      <c r="W2064" s="1" t="s">
        <v>59</v>
      </c>
      <c r="X2064" s="1"/>
      <c r="Y2064" s="1"/>
      <c r="Z2064" s="1" t="s">
        <v>980</v>
      </c>
      <c r="AA2064" s="1" t="s">
        <v>8502</v>
      </c>
      <c r="AB2064" s="1" t="str">
        <f>"16707892000103"</f>
        <v>16707892000103</v>
      </c>
      <c r="AC2064" s="1"/>
      <c r="AD2064" s="1" t="s">
        <v>149</v>
      </c>
      <c r="AE2064" s="1"/>
      <c r="AF2064" s="1">
        <v>-50.248055</v>
      </c>
      <c r="AG2064" s="1">
        <v>-29.856945</v>
      </c>
      <c r="AH2064" s="1" t="s">
        <v>8503</v>
      </c>
      <c r="AI2064" s="1"/>
      <c r="AJ2064" s="1" t="s">
        <v>151</v>
      </c>
      <c r="AK2064" s="1"/>
      <c r="AL2064" s="1"/>
      <c r="AM2064" s="1" t="s">
        <v>65</v>
      </c>
      <c r="AN2064" s="1" t="s">
        <v>152</v>
      </c>
      <c r="AO2064" s="1"/>
      <c r="AP2064" s="2">
        <v>43748.6771759259</v>
      </c>
      <c r="AQ2064" s="1"/>
      <c r="AR2064" s="1" t="s">
        <v>3544</v>
      </c>
      <c r="AS2064" s="1"/>
      <c r="AT2064" s="2">
        <v>44269.931099537</v>
      </c>
    </row>
    <row r="2065" ht="13.5" customHeight="1">
      <c r="A2065" s="1">
        <v>2038874.0</v>
      </c>
      <c r="B2065" s="1" t="s">
        <v>67</v>
      </c>
      <c r="C2065" s="1" t="s">
        <v>68</v>
      </c>
      <c r="D2065" s="1" t="s">
        <v>46</v>
      </c>
      <c r="E2065" s="1" t="s">
        <v>8504</v>
      </c>
      <c r="F2065" s="1"/>
      <c r="G2065" s="1" t="s">
        <v>70</v>
      </c>
      <c r="H2065" s="1" t="s">
        <v>93</v>
      </c>
      <c r="I2065" s="1">
        <v>6600.0</v>
      </c>
      <c r="J2065" s="1"/>
      <c r="K2065" s="1"/>
      <c r="L2065" s="1" t="s">
        <v>800</v>
      </c>
      <c r="M2065" s="1" t="s">
        <v>8505</v>
      </c>
      <c r="N2065" s="1" t="s">
        <v>108</v>
      </c>
      <c r="O2065" s="1" t="s">
        <v>109</v>
      </c>
      <c r="P2065" s="2">
        <v>43748.625</v>
      </c>
      <c r="Q2065" s="1" t="s">
        <v>74</v>
      </c>
      <c r="R2065" s="3">
        <v>43754.0</v>
      </c>
      <c r="S2065" s="1"/>
      <c r="T2065" s="1">
        <v>1600303.0</v>
      </c>
      <c r="U2065" s="1" t="s">
        <v>796</v>
      </c>
      <c r="V2065" s="1" t="s">
        <v>797</v>
      </c>
      <c r="W2065" s="1" t="s">
        <v>177</v>
      </c>
      <c r="X2065" s="1"/>
      <c r="Y2065" s="1"/>
      <c r="Z2065" s="1" t="s">
        <v>226</v>
      </c>
      <c r="AA2065" s="1" t="s">
        <v>8506</v>
      </c>
      <c r="AB2065" s="1" t="str">
        <f>"03788678000179"</f>
        <v>03788678000179</v>
      </c>
      <c r="AC2065" s="1"/>
      <c r="AD2065" s="1"/>
      <c r="AE2065" s="1"/>
      <c r="AF2065" s="1">
        <v>-51.201389</v>
      </c>
      <c r="AG2065" s="1">
        <v>0.011389</v>
      </c>
      <c r="AH2065" s="1" t="s">
        <v>8507</v>
      </c>
      <c r="AI2065" s="1"/>
      <c r="AJ2065" s="1" t="s">
        <v>800</v>
      </c>
      <c r="AK2065" s="1"/>
      <c r="AL2065" s="1" t="s">
        <v>79</v>
      </c>
      <c r="AM2065" s="1" t="s">
        <v>65</v>
      </c>
      <c r="AN2065" s="1" t="s">
        <v>8487</v>
      </c>
      <c r="AO2065" s="2">
        <v>44047.0</v>
      </c>
      <c r="AP2065" s="2">
        <v>44047.5290972222</v>
      </c>
      <c r="AQ2065" s="1" t="s">
        <v>80</v>
      </c>
      <c r="AR2065" s="1" t="s">
        <v>1136</v>
      </c>
      <c r="AS2065" s="1"/>
      <c r="AT2065" s="2">
        <v>44269.931099537</v>
      </c>
    </row>
    <row r="2066" ht="13.5" customHeight="1">
      <c r="A2066" s="1"/>
      <c r="B2066" s="1" t="s">
        <v>46</v>
      </c>
      <c r="C2066" s="1" t="s">
        <v>47</v>
      </c>
      <c r="D2066" s="1"/>
      <c r="E2066" s="1" t="s">
        <v>8508</v>
      </c>
      <c r="F2066" s="1"/>
      <c r="G2066" s="1" t="s">
        <v>49</v>
      </c>
      <c r="H2066" s="1" t="s">
        <v>50</v>
      </c>
      <c r="I2066" s="1">
        <v>400000.0</v>
      </c>
      <c r="J2066" s="1"/>
      <c r="K2066" s="1" t="s">
        <v>51</v>
      </c>
      <c r="L2066" s="1"/>
      <c r="M2066" s="1" t="s">
        <v>8509</v>
      </c>
      <c r="N2066" s="1" t="s">
        <v>212</v>
      </c>
      <c r="O2066" s="1" t="s">
        <v>213</v>
      </c>
      <c r="P2066" s="2">
        <v>43748.5960069444</v>
      </c>
      <c r="Q2066" s="1" t="s">
        <v>74</v>
      </c>
      <c r="R2066" s="3">
        <v>43788.0</v>
      </c>
      <c r="S2066" s="1"/>
      <c r="T2066" s="1">
        <v>3304557.0</v>
      </c>
      <c r="U2066" s="1" t="s">
        <v>286</v>
      </c>
      <c r="V2066" s="1" t="s">
        <v>287</v>
      </c>
      <c r="W2066" s="1" t="s">
        <v>288</v>
      </c>
      <c r="X2066" s="1"/>
      <c r="Y2066" s="1"/>
      <c r="Z2066" s="1" t="s">
        <v>215</v>
      </c>
      <c r="AA2066" s="1" t="s">
        <v>8510</v>
      </c>
      <c r="AB2066" s="1" t="str">
        <f>"33000167000292"</f>
        <v>33000167000292</v>
      </c>
      <c r="AC2066" s="1"/>
      <c r="AD2066" s="1" t="s">
        <v>62</v>
      </c>
      <c r="AE2066" s="1"/>
      <c r="AF2066" s="1">
        <v>-40.676666</v>
      </c>
      <c r="AG2066" s="1">
        <v>-22.701389</v>
      </c>
      <c r="AH2066" s="1" t="s">
        <v>8511</v>
      </c>
      <c r="AI2066" s="1"/>
      <c r="AJ2066" s="1" t="s">
        <v>172</v>
      </c>
      <c r="AK2066" s="1"/>
      <c r="AL2066" s="1"/>
      <c r="AM2066" s="1" t="s">
        <v>65</v>
      </c>
      <c r="AN2066" s="1" t="s">
        <v>5373</v>
      </c>
      <c r="AO2066" s="1"/>
      <c r="AP2066" s="2">
        <v>44089.9766435185</v>
      </c>
      <c r="AQ2066" s="1"/>
      <c r="AR2066" s="1" t="s">
        <v>229</v>
      </c>
      <c r="AS2066" s="1"/>
      <c r="AT2066" s="2">
        <v>44269.931099537</v>
      </c>
    </row>
    <row r="2067" ht="13.5" customHeight="1">
      <c r="A2067" s="1">
        <v>1991795.0</v>
      </c>
      <c r="B2067" s="1" t="s">
        <v>67</v>
      </c>
      <c r="C2067" s="1" t="s">
        <v>89</v>
      </c>
      <c r="D2067" s="1" t="s">
        <v>67</v>
      </c>
      <c r="E2067" s="1">
        <v>9218903.0</v>
      </c>
      <c r="F2067" s="1" t="s">
        <v>1293</v>
      </c>
      <c r="G2067" s="1" t="s">
        <v>70</v>
      </c>
      <c r="H2067" s="1" t="s">
        <v>93</v>
      </c>
      <c r="I2067" s="1">
        <v>25000.0</v>
      </c>
      <c r="J2067" s="1"/>
      <c r="K2067" s="1"/>
      <c r="L2067" s="1" t="s">
        <v>501</v>
      </c>
      <c r="M2067" s="1" t="s">
        <v>8512</v>
      </c>
      <c r="N2067" s="1" t="s">
        <v>72</v>
      </c>
      <c r="O2067" s="1"/>
      <c r="P2067" s="2">
        <v>43748.5930555556</v>
      </c>
      <c r="Q2067" s="1" t="s">
        <v>373</v>
      </c>
      <c r="R2067" s="1"/>
      <c r="S2067" s="1"/>
      <c r="T2067" s="1">
        <v>2400109.0</v>
      </c>
      <c r="U2067" s="1" t="s">
        <v>8513</v>
      </c>
      <c r="V2067" s="1" t="s">
        <v>1424</v>
      </c>
      <c r="W2067" s="1" t="s">
        <v>113</v>
      </c>
      <c r="X2067" s="1"/>
      <c r="Y2067" s="1" t="str">
        <f>"02021000274202038"</f>
        <v>02021000274202038</v>
      </c>
      <c r="Z2067" s="1" t="s">
        <v>76</v>
      </c>
      <c r="AA2067" s="1" t="s">
        <v>8514</v>
      </c>
      <c r="AB2067" s="1" t="str">
        <f>"08334385003908"</f>
        <v>08334385003908</v>
      </c>
      <c r="AC2067" s="1"/>
      <c r="AD2067" s="1" t="s">
        <v>116</v>
      </c>
      <c r="AE2067" s="1"/>
      <c r="AF2067" s="1">
        <v>0.0</v>
      </c>
      <c r="AG2067" s="1">
        <v>0.0</v>
      </c>
      <c r="AH2067" s="1" t="s">
        <v>8515</v>
      </c>
      <c r="AI2067" s="1"/>
      <c r="AJ2067" s="1" t="s">
        <v>501</v>
      </c>
      <c r="AK2067" s="1"/>
      <c r="AL2067" s="1" t="s">
        <v>118</v>
      </c>
      <c r="AM2067" s="1"/>
      <c r="AN2067" s="1"/>
      <c r="AO2067" s="2">
        <v>43007.5895717593</v>
      </c>
      <c r="AP2067" s="2">
        <v>44147.4690856481</v>
      </c>
      <c r="AQ2067" s="1" t="s">
        <v>89</v>
      </c>
      <c r="AR2067" s="1" t="s">
        <v>8516</v>
      </c>
      <c r="AS2067" s="1"/>
      <c r="AT2067" s="2">
        <v>44269.931099537</v>
      </c>
    </row>
    <row r="2068" ht="13.5" customHeight="1">
      <c r="A2068" s="1">
        <v>2038875.0</v>
      </c>
      <c r="B2068" s="1" t="s">
        <v>67</v>
      </c>
      <c r="C2068" s="1" t="s">
        <v>68</v>
      </c>
      <c r="D2068" s="1" t="s">
        <v>46</v>
      </c>
      <c r="E2068" s="1" t="s">
        <v>8517</v>
      </c>
      <c r="F2068" s="1"/>
      <c r="G2068" s="1" t="s">
        <v>70</v>
      </c>
      <c r="H2068" s="1" t="s">
        <v>93</v>
      </c>
      <c r="I2068" s="1">
        <v>9000.0</v>
      </c>
      <c r="J2068" s="1"/>
      <c r="K2068" s="1"/>
      <c r="L2068" s="1" t="s">
        <v>800</v>
      </c>
      <c r="M2068" s="1" t="s">
        <v>8518</v>
      </c>
      <c r="N2068" s="1" t="s">
        <v>142</v>
      </c>
      <c r="O2068" s="1" t="s">
        <v>143</v>
      </c>
      <c r="P2068" s="2">
        <v>43748.5833333333</v>
      </c>
      <c r="Q2068" s="1" t="s">
        <v>74</v>
      </c>
      <c r="R2068" s="3">
        <v>43754.0</v>
      </c>
      <c r="S2068" s="1"/>
      <c r="T2068" s="1">
        <v>1600303.0</v>
      </c>
      <c r="U2068" s="1" t="s">
        <v>796</v>
      </c>
      <c r="V2068" s="1" t="s">
        <v>797</v>
      </c>
      <c r="W2068" s="1" t="s">
        <v>177</v>
      </c>
      <c r="X2068" s="1"/>
      <c r="Y2068" s="1"/>
      <c r="Z2068" s="1" t="s">
        <v>147</v>
      </c>
      <c r="AA2068" s="1" t="s">
        <v>8506</v>
      </c>
      <c r="AB2068" s="1" t="str">
        <f>"03788678000179"</f>
        <v>03788678000179</v>
      </c>
      <c r="AC2068" s="1"/>
      <c r="AD2068" s="1"/>
      <c r="AE2068" s="1"/>
      <c r="AF2068" s="1">
        <v>-51.201389</v>
      </c>
      <c r="AG2068" s="1">
        <v>0.011389</v>
      </c>
      <c r="AH2068" s="1" t="s">
        <v>8519</v>
      </c>
      <c r="AI2068" s="1"/>
      <c r="AJ2068" s="1" t="s">
        <v>800</v>
      </c>
      <c r="AK2068" s="1"/>
      <c r="AL2068" s="1" t="s">
        <v>79</v>
      </c>
      <c r="AM2068" s="1" t="s">
        <v>65</v>
      </c>
      <c r="AN2068" s="1" t="s">
        <v>8487</v>
      </c>
      <c r="AO2068" s="2">
        <v>44047.0</v>
      </c>
      <c r="AP2068" s="2">
        <v>44047.5292592593</v>
      </c>
      <c r="AQ2068" s="1" t="s">
        <v>80</v>
      </c>
      <c r="AR2068" s="1" t="s">
        <v>6654</v>
      </c>
      <c r="AS2068" s="1"/>
      <c r="AT2068" s="2">
        <v>44269.931099537</v>
      </c>
    </row>
    <row r="2069" ht="13.5" customHeight="1">
      <c r="A2069" s="1">
        <v>2043490.0</v>
      </c>
      <c r="B2069" s="1" t="s">
        <v>67</v>
      </c>
      <c r="C2069" s="1" t="s">
        <v>68</v>
      </c>
      <c r="D2069" s="1" t="s">
        <v>46</v>
      </c>
      <c r="E2069" s="1" t="s">
        <v>8520</v>
      </c>
      <c r="F2069" s="1"/>
      <c r="G2069" s="1" t="s">
        <v>70</v>
      </c>
      <c r="H2069" s="1" t="s">
        <v>93</v>
      </c>
      <c r="I2069" s="1">
        <v>11000.0</v>
      </c>
      <c r="J2069" s="1"/>
      <c r="K2069" s="1"/>
      <c r="L2069" s="1" t="s">
        <v>386</v>
      </c>
      <c r="M2069" s="1" t="s">
        <v>8521</v>
      </c>
      <c r="N2069" s="1" t="s">
        <v>72</v>
      </c>
      <c r="O2069" s="1" t="s">
        <v>73</v>
      </c>
      <c r="P2069" s="2">
        <v>43748.5833333333</v>
      </c>
      <c r="Q2069" s="1" t="s">
        <v>373</v>
      </c>
      <c r="R2069" s="3">
        <v>43748.0</v>
      </c>
      <c r="S2069" s="1"/>
      <c r="T2069" s="1">
        <v>1718204.0</v>
      </c>
      <c r="U2069" s="1" t="s">
        <v>8522</v>
      </c>
      <c r="V2069" s="1" t="s">
        <v>2156</v>
      </c>
      <c r="W2069" s="1" t="s">
        <v>127</v>
      </c>
      <c r="X2069" s="1"/>
      <c r="Y2069" s="1"/>
      <c r="Z2069" s="1" t="s">
        <v>76</v>
      </c>
      <c r="AA2069" s="1" t="s">
        <v>8523</v>
      </c>
      <c r="AB2069" s="1" t="str">
        <f>"***448929**"</f>
        <v>***448929**</v>
      </c>
      <c r="AC2069" s="1"/>
      <c r="AD2069" s="1"/>
      <c r="AE2069" s="1"/>
      <c r="AF2069" s="1">
        <v>-48.3325</v>
      </c>
      <c r="AG2069" s="1">
        <v>-10.208889</v>
      </c>
      <c r="AH2069" s="1" t="s">
        <v>8524</v>
      </c>
      <c r="AI2069" s="1">
        <v>501010.0</v>
      </c>
      <c r="AJ2069" s="1" t="s">
        <v>386</v>
      </c>
      <c r="AK2069" s="1"/>
      <c r="AL2069" s="1" t="s">
        <v>79</v>
      </c>
      <c r="AM2069" s="1" t="s">
        <v>65</v>
      </c>
      <c r="AN2069" s="1" t="s">
        <v>152</v>
      </c>
      <c r="AO2069" s="2">
        <v>44239.0</v>
      </c>
      <c r="AP2069" s="2">
        <v>44239.7442824074</v>
      </c>
      <c r="AQ2069" s="1" t="s">
        <v>80</v>
      </c>
      <c r="AR2069" s="1" t="s">
        <v>1072</v>
      </c>
      <c r="AS2069" s="1"/>
      <c r="AT2069" s="2">
        <v>44269.931099537</v>
      </c>
    </row>
    <row r="2070" ht="13.5" customHeight="1">
      <c r="A2070" s="1">
        <v>2044310.0</v>
      </c>
      <c r="B2070" s="1" t="s">
        <v>67</v>
      </c>
      <c r="C2070" s="1" t="s">
        <v>68</v>
      </c>
      <c r="D2070" s="1" t="s">
        <v>46</v>
      </c>
      <c r="E2070" s="1" t="s">
        <v>8525</v>
      </c>
      <c r="F2070" s="1"/>
      <c r="G2070" s="1" t="s">
        <v>70</v>
      </c>
      <c r="H2070" s="1" t="s">
        <v>93</v>
      </c>
      <c r="I2070" s="1">
        <v>9000.0</v>
      </c>
      <c r="J2070" s="1"/>
      <c r="K2070" s="1"/>
      <c r="L2070" s="1" t="s">
        <v>800</v>
      </c>
      <c r="M2070" s="1" t="s">
        <v>8526</v>
      </c>
      <c r="N2070" s="1" t="s">
        <v>142</v>
      </c>
      <c r="O2070" s="1" t="s">
        <v>143</v>
      </c>
      <c r="P2070" s="2">
        <v>43748.5833333333</v>
      </c>
      <c r="Q2070" s="1" t="s">
        <v>74</v>
      </c>
      <c r="R2070" s="3">
        <v>43768.0</v>
      </c>
      <c r="S2070" s="1"/>
      <c r="T2070" s="1">
        <v>1600535.0</v>
      </c>
      <c r="U2070" s="1" t="s">
        <v>8527</v>
      </c>
      <c r="V2070" s="1" t="s">
        <v>797</v>
      </c>
      <c r="W2070" s="1" t="s">
        <v>177</v>
      </c>
      <c r="X2070" s="1"/>
      <c r="Y2070" s="1"/>
      <c r="Z2070" s="1" t="s">
        <v>147</v>
      </c>
      <c r="AA2070" s="1" t="s">
        <v>8528</v>
      </c>
      <c r="AB2070" s="1" t="str">
        <f>"***603682**"</f>
        <v>***603682**</v>
      </c>
      <c r="AC2070" s="1"/>
      <c r="AD2070" s="1"/>
      <c r="AE2070" s="1"/>
      <c r="AF2070" s="1">
        <v>-51.420834</v>
      </c>
      <c r="AG2070" s="1">
        <v>0.456667</v>
      </c>
      <c r="AH2070" s="1" t="s">
        <v>8529</v>
      </c>
      <c r="AI2070" s="1"/>
      <c r="AJ2070" s="1" t="s">
        <v>800</v>
      </c>
      <c r="AK2070" s="1"/>
      <c r="AL2070" s="1" t="s">
        <v>79</v>
      </c>
      <c r="AM2070" s="1" t="s">
        <v>65</v>
      </c>
      <c r="AN2070" s="1" t="s">
        <v>8487</v>
      </c>
      <c r="AO2070" s="2">
        <v>44267.0</v>
      </c>
      <c r="AP2070" s="2">
        <v>44267.7293981482</v>
      </c>
      <c r="AQ2070" s="1" t="s">
        <v>80</v>
      </c>
      <c r="AR2070" s="1" t="s">
        <v>6654</v>
      </c>
      <c r="AS2070" s="1"/>
      <c r="AT2070" s="2">
        <v>44269.931099537</v>
      </c>
    </row>
    <row r="2071" ht="13.5" customHeight="1">
      <c r="A2071" s="1"/>
      <c r="B2071" s="1" t="s">
        <v>46</v>
      </c>
      <c r="C2071" s="1" t="s">
        <v>47</v>
      </c>
      <c r="D2071" s="1"/>
      <c r="E2071" s="1" t="s">
        <v>8530</v>
      </c>
      <c r="F2071" s="1"/>
      <c r="G2071" s="1" t="s">
        <v>49</v>
      </c>
      <c r="H2071" s="1" t="s">
        <v>50</v>
      </c>
      <c r="I2071" s="1">
        <v>5000.0</v>
      </c>
      <c r="J2071" s="1"/>
      <c r="K2071" s="1" t="s">
        <v>140</v>
      </c>
      <c r="L2071" s="1"/>
      <c r="M2071" s="1" t="s">
        <v>8531</v>
      </c>
      <c r="N2071" s="1" t="s">
        <v>142</v>
      </c>
      <c r="O2071" s="1" t="s">
        <v>143</v>
      </c>
      <c r="P2071" s="2">
        <v>43748.5704861111</v>
      </c>
      <c r="Q2071" s="1" t="s">
        <v>74</v>
      </c>
      <c r="R2071" s="1"/>
      <c r="S2071" s="1"/>
      <c r="T2071" s="1">
        <v>3539806.0</v>
      </c>
      <c r="U2071" s="1" t="s">
        <v>8532</v>
      </c>
      <c r="V2071" s="1" t="s">
        <v>58</v>
      </c>
      <c r="W2071" s="1" t="s">
        <v>177</v>
      </c>
      <c r="X2071" s="1"/>
      <c r="Y2071" s="1"/>
      <c r="Z2071" s="1" t="s">
        <v>147</v>
      </c>
      <c r="AA2071" s="1" t="s">
        <v>8533</v>
      </c>
      <c r="AB2071" s="1" t="str">
        <f>"08486679000182"</f>
        <v>08486679000182</v>
      </c>
      <c r="AC2071" s="1"/>
      <c r="AD2071" s="1" t="s">
        <v>62</v>
      </c>
      <c r="AE2071" s="1"/>
      <c r="AF2071" s="1">
        <v>-46.348331</v>
      </c>
      <c r="AG2071" s="1">
        <v>-23.516388</v>
      </c>
      <c r="AH2071" s="1" t="s">
        <v>8534</v>
      </c>
      <c r="AI2071" s="1"/>
      <c r="AJ2071" s="1" t="s">
        <v>64</v>
      </c>
      <c r="AK2071" s="1"/>
      <c r="AL2071" s="1"/>
      <c r="AM2071" s="1" t="s">
        <v>65</v>
      </c>
      <c r="AN2071" s="1"/>
      <c r="AO2071" s="1"/>
      <c r="AP2071" s="2">
        <v>44176.660775463</v>
      </c>
      <c r="AQ2071" s="1"/>
      <c r="AR2071" s="1" t="s">
        <v>153</v>
      </c>
      <c r="AS2071" s="1"/>
      <c r="AT2071" s="2">
        <v>44269.931099537</v>
      </c>
    </row>
    <row r="2072" ht="13.5" customHeight="1">
      <c r="A2072" s="1"/>
      <c r="B2072" s="1" t="s">
        <v>46</v>
      </c>
      <c r="C2072" s="1" t="s">
        <v>47</v>
      </c>
      <c r="D2072" s="1"/>
      <c r="E2072" s="1" t="s">
        <v>8535</v>
      </c>
      <c r="F2072" s="1"/>
      <c r="G2072" s="1" t="s">
        <v>49</v>
      </c>
      <c r="H2072" s="1" t="s">
        <v>50</v>
      </c>
      <c r="I2072" s="1">
        <v>7500.0</v>
      </c>
      <c r="J2072" s="1"/>
      <c r="K2072" s="1" t="s">
        <v>140</v>
      </c>
      <c r="L2072" s="1"/>
      <c r="M2072" s="1" t="s">
        <v>8536</v>
      </c>
      <c r="N2072" s="1" t="s">
        <v>72</v>
      </c>
      <c r="O2072" s="1" t="s">
        <v>1364</v>
      </c>
      <c r="P2072" s="2">
        <v>43748.5490509259</v>
      </c>
      <c r="Q2072" s="1" t="s">
        <v>373</v>
      </c>
      <c r="R2072" s="1"/>
      <c r="S2072" s="1"/>
      <c r="T2072" s="1">
        <v>3523404.0</v>
      </c>
      <c r="U2072" s="1" t="s">
        <v>8537</v>
      </c>
      <c r="V2072" s="1" t="s">
        <v>58</v>
      </c>
      <c r="W2072" s="1" t="s">
        <v>177</v>
      </c>
      <c r="X2072" s="1"/>
      <c r="Y2072" s="1"/>
      <c r="Z2072" s="1"/>
      <c r="AA2072" s="1" t="s">
        <v>8538</v>
      </c>
      <c r="AB2072" s="1" t="str">
        <f>"02753658000108"</f>
        <v>02753658000108</v>
      </c>
      <c r="AC2072" s="1"/>
      <c r="AD2072" s="1" t="s">
        <v>62</v>
      </c>
      <c r="AE2072" s="1"/>
      <c r="AF2072" s="1">
        <v>-46.818611</v>
      </c>
      <c r="AG2072" s="1">
        <v>-23.005556</v>
      </c>
      <c r="AH2072" s="1" t="s">
        <v>8539</v>
      </c>
      <c r="AI2072" s="1"/>
      <c r="AJ2072" s="1" t="s">
        <v>64</v>
      </c>
      <c r="AK2072" s="1"/>
      <c r="AL2072" s="1"/>
      <c r="AM2072" s="1" t="s">
        <v>65</v>
      </c>
      <c r="AN2072" s="1"/>
      <c r="AO2072" s="1"/>
      <c r="AP2072" s="2">
        <v>44176.6606597222</v>
      </c>
      <c r="AQ2072" s="1"/>
      <c r="AR2072" s="1" t="s">
        <v>153</v>
      </c>
      <c r="AS2072" s="1"/>
      <c r="AT2072" s="2">
        <v>44269.931099537</v>
      </c>
    </row>
    <row r="2073" ht="13.5" customHeight="1">
      <c r="A2073" s="1">
        <v>2036932.0</v>
      </c>
      <c r="B2073" s="1" t="s">
        <v>67</v>
      </c>
      <c r="C2073" s="1" t="s">
        <v>68</v>
      </c>
      <c r="D2073" s="1" t="s">
        <v>46</v>
      </c>
      <c r="E2073" s="1" t="s">
        <v>8540</v>
      </c>
      <c r="F2073" s="1"/>
      <c r="G2073" s="1" t="s">
        <v>70</v>
      </c>
      <c r="H2073" s="1" t="s">
        <v>50</v>
      </c>
      <c r="I2073" s="1">
        <v>21000.0</v>
      </c>
      <c r="J2073" s="1"/>
      <c r="K2073" s="1"/>
      <c r="L2073" s="1" t="s">
        <v>406</v>
      </c>
      <c r="M2073" s="1" t="s">
        <v>8541</v>
      </c>
      <c r="N2073" s="1" t="s">
        <v>95</v>
      </c>
      <c r="O2073" s="1" t="s">
        <v>96</v>
      </c>
      <c r="P2073" s="2">
        <v>43748.5</v>
      </c>
      <c r="Q2073" s="1" t="s">
        <v>373</v>
      </c>
      <c r="R2073" s="3">
        <v>43748.0</v>
      </c>
      <c r="S2073" s="1"/>
      <c r="T2073" s="1">
        <v>3201308.0</v>
      </c>
      <c r="U2073" s="1" t="s">
        <v>6272</v>
      </c>
      <c r="V2073" s="1" t="s">
        <v>403</v>
      </c>
      <c r="W2073" s="1" t="s">
        <v>59</v>
      </c>
      <c r="X2073" s="1"/>
      <c r="Y2073" s="1" t="str">
        <f>"02009001157202050"</f>
        <v>02009001157202050</v>
      </c>
      <c r="Z2073" s="1" t="s">
        <v>98</v>
      </c>
      <c r="AA2073" s="1" t="s">
        <v>8542</v>
      </c>
      <c r="AB2073" s="1" t="str">
        <f>"***973877**"</f>
        <v>***973877**</v>
      </c>
      <c r="AC2073" s="1"/>
      <c r="AD2073" s="1"/>
      <c r="AE2073" s="1"/>
      <c r="AF2073" s="1">
        <v>-40.374722</v>
      </c>
      <c r="AG2073" s="1">
        <v>-20.327223</v>
      </c>
      <c r="AH2073" s="1" t="s">
        <v>8543</v>
      </c>
      <c r="AI2073" s="1"/>
      <c r="AJ2073" s="1" t="s">
        <v>406</v>
      </c>
      <c r="AK2073" s="1"/>
      <c r="AL2073" s="1" t="s">
        <v>79</v>
      </c>
      <c r="AM2073" s="1" t="s">
        <v>65</v>
      </c>
      <c r="AN2073" s="1" t="s">
        <v>132</v>
      </c>
      <c r="AO2073" s="2">
        <v>43979.0</v>
      </c>
      <c r="AP2073" s="2">
        <v>43979.7435300926</v>
      </c>
      <c r="AQ2073" s="1" t="s">
        <v>80</v>
      </c>
      <c r="AR2073" s="1" t="s">
        <v>8544</v>
      </c>
      <c r="AS2073" s="1" t="s">
        <v>8545</v>
      </c>
      <c r="AT2073" s="2">
        <v>44269.931099537</v>
      </c>
    </row>
    <row r="2074" ht="13.5" customHeight="1">
      <c r="A2074" s="1">
        <v>1991794.0</v>
      </c>
      <c r="B2074" s="1" t="s">
        <v>67</v>
      </c>
      <c r="C2074" s="1" t="s">
        <v>89</v>
      </c>
      <c r="D2074" s="1" t="s">
        <v>67</v>
      </c>
      <c r="E2074" s="1">
        <v>9218902.0</v>
      </c>
      <c r="F2074" s="1" t="s">
        <v>1293</v>
      </c>
      <c r="G2074" s="1" t="s">
        <v>70</v>
      </c>
      <c r="H2074" s="1" t="s">
        <v>93</v>
      </c>
      <c r="I2074" s="1">
        <v>180000.0</v>
      </c>
      <c r="J2074" s="1"/>
      <c r="K2074" s="1"/>
      <c r="L2074" s="1" t="s">
        <v>501</v>
      </c>
      <c r="M2074" s="1" t="s">
        <v>8546</v>
      </c>
      <c r="N2074" s="1" t="s">
        <v>72</v>
      </c>
      <c r="O2074" s="1"/>
      <c r="P2074" s="2">
        <v>43748.4847222222</v>
      </c>
      <c r="Q2074" s="1" t="s">
        <v>373</v>
      </c>
      <c r="R2074" s="1"/>
      <c r="S2074" s="1"/>
      <c r="T2074" s="1">
        <v>2408904.0</v>
      </c>
      <c r="U2074" s="1" t="s">
        <v>8547</v>
      </c>
      <c r="V2074" s="1" t="s">
        <v>1424</v>
      </c>
      <c r="W2074" s="1" t="s">
        <v>113</v>
      </c>
      <c r="X2074" s="1"/>
      <c r="Y2074" s="1" t="str">
        <f>"02021000275202082"</f>
        <v>02021000275202082</v>
      </c>
      <c r="Z2074" s="1" t="s">
        <v>76</v>
      </c>
      <c r="AA2074" s="1" t="s">
        <v>8514</v>
      </c>
      <c r="AB2074" s="1" t="str">
        <f>"08334385004122"</f>
        <v>08334385004122</v>
      </c>
      <c r="AC2074" s="1"/>
      <c r="AD2074" s="1" t="s">
        <v>116</v>
      </c>
      <c r="AE2074" s="1"/>
      <c r="AF2074" s="1">
        <v>0.0</v>
      </c>
      <c r="AG2074" s="1">
        <v>0.0</v>
      </c>
      <c r="AH2074" s="1" t="s">
        <v>8548</v>
      </c>
      <c r="AI2074" s="1"/>
      <c r="AJ2074" s="1" t="s">
        <v>501</v>
      </c>
      <c r="AK2074" s="1"/>
      <c r="AL2074" s="1" t="s">
        <v>118</v>
      </c>
      <c r="AM2074" s="1"/>
      <c r="AN2074" s="1"/>
      <c r="AO2074" s="2">
        <v>43007.5895717593</v>
      </c>
      <c r="AP2074" s="2">
        <v>44147.4654513889</v>
      </c>
      <c r="AQ2074" s="1" t="s">
        <v>89</v>
      </c>
      <c r="AR2074" s="1" t="s">
        <v>8549</v>
      </c>
      <c r="AS2074" s="1"/>
      <c r="AT2074" s="2">
        <v>44269.931099537</v>
      </c>
    </row>
    <row r="2075" ht="13.5" customHeight="1">
      <c r="A2075" s="1">
        <v>2037887.0</v>
      </c>
      <c r="B2075" s="1" t="s">
        <v>67</v>
      </c>
      <c r="C2075" s="1" t="s">
        <v>68</v>
      </c>
      <c r="D2075" s="1" t="s">
        <v>46</v>
      </c>
      <c r="E2075" s="1" t="s">
        <v>8550</v>
      </c>
      <c r="F2075" s="1"/>
      <c r="G2075" s="1" t="s">
        <v>70</v>
      </c>
      <c r="H2075" s="1" t="s">
        <v>50</v>
      </c>
      <c r="I2075" s="1">
        <v>200000.0</v>
      </c>
      <c r="J2075" s="1"/>
      <c r="K2075" s="1"/>
      <c r="L2075" s="1" t="s">
        <v>172</v>
      </c>
      <c r="M2075" s="1" t="s">
        <v>8551</v>
      </c>
      <c r="N2075" s="1" t="s">
        <v>72</v>
      </c>
      <c r="O2075" s="1" t="s">
        <v>213</v>
      </c>
      <c r="P2075" s="2">
        <v>43748.4583333333</v>
      </c>
      <c r="Q2075" s="1" t="s">
        <v>74</v>
      </c>
      <c r="R2075" s="3">
        <v>43787.0</v>
      </c>
      <c r="S2075" s="1"/>
      <c r="T2075" s="1">
        <v>3304557.0</v>
      </c>
      <c r="U2075" s="1" t="s">
        <v>286</v>
      </c>
      <c r="V2075" s="1" t="s">
        <v>287</v>
      </c>
      <c r="W2075" s="1" t="s">
        <v>288</v>
      </c>
      <c r="X2075" s="1"/>
      <c r="Y2075" s="1"/>
      <c r="Z2075" s="1" t="s">
        <v>215</v>
      </c>
      <c r="AA2075" s="1" t="s">
        <v>907</v>
      </c>
      <c r="AB2075" s="1" t="str">
        <f t="shared" ref="AB2075:AB2076" si="128">"33000167000292"</f>
        <v>33000167000292</v>
      </c>
      <c r="AC2075" s="1"/>
      <c r="AD2075" s="1"/>
      <c r="AE2075" s="1"/>
      <c r="AF2075" s="1">
        <v>-40.676666</v>
      </c>
      <c r="AG2075" s="1">
        <v>-22.701389</v>
      </c>
      <c r="AH2075" s="1" t="s">
        <v>8552</v>
      </c>
      <c r="AI2075" s="1"/>
      <c r="AJ2075" s="1" t="s">
        <v>172</v>
      </c>
      <c r="AK2075" s="1"/>
      <c r="AL2075" s="1" t="s">
        <v>79</v>
      </c>
      <c r="AM2075" s="1" t="s">
        <v>65</v>
      </c>
      <c r="AN2075" s="1" t="s">
        <v>5373</v>
      </c>
      <c r="AO2075" s="2">
        <v>44013.0</v>
      </c>
      <c r="AP2075" s="2">
        <v>44013.6362962963</v>
      </c>
      <c r="AQ2075" s="1" t="s">
        <v>80</v>
      </c>
      <c r="AR2075" s="1" t="s">
        <v>462</v>
      </c>
      <c r="AS2075" s="1"/>
      <c r="AT2075" s="2">
        <v>44269.931099537</v>
      </c>
    </row>
    <row r="2076" ht="13.5" customHeight="1">
      <c r="A2076" s="1">
        <v>2038880.0</v>
      </c>
      <c r="B2076" s="1" t="s">
        <v>67</v>
      </c>
      <c r="C2076" s="1" t="s">
        <v>68</v>
      </c>
      <c r="D2076" s="1" t="s">
        <v>46</v>
      </c>
      <c r="E2076" s="1" t="s">
        <v>8553</v>
      </c>
      <c r="F2076" s="1"/>
      <c r="G2076" s="1" t="s">
        <v>70</v>
      </c>
      <c r="H2076" s="1" t="s">
        <v>50</v>
      </c>
      <c r="I2076" s="1">
        <v>100000.0</v>
      </c>
      <c r="J2076" s="1"/>
      <c r="K2076" s="1"/>
      <c r="L2076" s="1" t="s">
        <v>172</v>
      </c>
      <c r="M2076" s="1" t="s">
        <v>8554</v>
      </c>
      <c r="N2076" s="1" t="s">
        <v>72</v>
      </c>
      <c r="O2076" s="1" t="s">
        <v>213</v>
      </c>
      <c r="P2076" s="2">
        <v>43748.4166666667</v>
      </c>
      <c r="Q2076" s="1" t="s">
        <v>74</v>
      </c>
      <c r="R2076" s="3">
        <v>43787.0</v>
      </c>
      <c r="S2076" s="1"/>
      <c r="T2076" s="1">
        <v>3304557.0</v>
      </c>
      <c r="U2076" s="1" t="s">
        <v>286</v>
      </c>
      <c r="V2076" s="1" t="s">
        <v>287</v>
      </c>
      <c r="W2076" s="1" t="s">
        <v>288</v>
      </c>
      <c r="X2076" s="1"/>
      <c r="Y2076" s="1"/>
      <c r="Z2076" s="1" t="s">
        <v>215</v>
      </c>
      <c r="AA2076" s="1" t="s">
        <v>907</v>
      </c>
      <c r="AB2076" s="1" t="str">
        <f t="shared" si="128"/>
        <v>33000167000292</v>
      </c>
      <c r="AC2076" s="1"/>
      <c r="AD2076" s="1"/>
      <c r="AE2076" s="1"/>
      <c r="AF2076" s="1">
        <v>-40.676666</v>
      </c>
      <c r="AG2076" s="1">
        <v>-22.701389</v>
      </c>
      <c r="AH2076" s="1" t="s">
        <v>8552</v>
      </c>
      <c r="AI2076" s="1"/>
      <c r="AJ2076" s="1" t="s">
        <v>172</v>
      </c>
      <c r="AK2076" s="1"/>
      <c r="AL2076" s="1" t="s">
        <v>79</v>
      </c>
      <c r="AM2076" s="1" t="s">
        <v>65</v>
      </c>
      <c r="AN2076" s="1" t="s">
        <v>5373</v>
      </c>
      <c r="AO2076" s="2">
        <v>44047.0</v>
      </c>
      <c r="AP2076" s="2">
        <v>44047.6413310185</v>
      </c>
      <c r="AQ2076" s="1" t="s">
        <v>80</v>
      </c>
      <c r="AR2076" s="1" t="s">
        <v>462</v>
      </c>
      <c r="AS2076" s="1"/>
      <c r="AT2076" s="2">
        <v>44269.931099537</v>
      </c>
    </row>
    <row r="2077" ht="13.5" customHeight="1">
      <c r="A2077" s="1">
        <v>2040434.0</v>
      </c>
      <c r="B2077" s="1" t="s">
        <v>67</v>
      </c>
      <c r="C2077" s="1" t="s">
        <v>68</v>
      </c>
      <c r="D2077" s="1" t="s">
        <v>46</v>
      </c>
      <c r="E2077" s="1" t="s">
        <v>8555</v>
      </c>
      <c r="F2077" s="1"/>
      <c r="G2077" s="1" t="s">
        <v>70</v>
      </c>
      <c r="H2077" s="1" t="s">
        <v>93</v>
      </c>
      <c r="I2077" s="1">
        <v>14000.0</v>
      </c>
      <c r="J2077" s="1"/>
      <c r="K2077" s="1"/>
      <c r="L2077" s="1" t="s">
        <v>800</v>
      </c>
      <c r="M2077" s="1" t="s">
        <v>8556</v>
      </c>
      <c r="N2077" s="1" t="s">
        <v>142</v>
      </c>
      <c r="O2077" s="1" t="s">
        <v>143</v>
      </c>
      <c r="P2077" s="2">
        <v>43748.4166666667</v>
      </c>
      <c r="Q2077" s="1" t="s">
        <v>74</v>
      </c>
      <c r="R2077" s="3">
        <v>43786.0</v>
      </c>
      <c r="S2077" s="1"/>
      <c r="T2077" s="1">
        <v>1600535.0</v>
      </c>
      <c r="U2077" s="1" t="s">
        <v>8527</v>
      </c>
      <c r="V2077" s="1" t="s">
        <v>797</v>
      </c>
      <c r="W2077" s="1" t="s">
        <v>177</v>
      </c>
      <c r="X2077" s="1"/>
      <c r="Y2077" s="1"/>
      <c r="Z2077" s="1" t="s">
        <v>147</v>
      </c>
      <c r="AA2077" s="1" t="s">
        <v>8557</v>
      </c>
      <c r="AB2077" s="1" t="str">
        <f>"***570612**"</f>
        <v>***570612**</v>
      </c>
      <c r="AC2077" s="1"/>
      <c r="AD2077" s="1"/>
      <c r="AE2077" s="1"/>
      <c r="AF2077" s="1">
        <v>-51.441391</v>
      </c>
      <c r="AG2077" s="1">
        <v>0.551944</v>
      </c>
      <c r="AH2077" s="1" t="s">
        <v>8558</v>
      </c>
      <c r="AI2077" s="1"/>
      <c r="AJ2077" s="1" t="s">
        <v>800</v>
      </c>
      <c r="AK2077" s="1"/>
      <c r="AL2077" s="1" t="s">
        <v>79</v>
      </c>
      <c r="AM2077" s="1" t="s">
        <v>65</v>
      </c>
      <c r="AN2077" s="1" t="s">
        <v>8487</v>
      </c>
      <c r="AO2077" s="2">
        <v>44125.0</v>
      </c>
      <c r="AP2077" s="2">
        <v>44125.6316898148</v>
      </c>
      <c r="AQ2077" s="1" t="s">
        <v>80</v>
      </c>
      <c r="AR2077" s="1" t="s">
        <v>6654</v>
      </c>
      <c r="AS2077" s="1"/>
      <c r="AT2077" s="2">
        <v>44269.931099537</v>
      </c>
    </row>
    <row r="2078" ht="13.5" customHeight="1">
      <c r="A2078" s="1">
        <v>2040435.0</v>
      </c>
      <c r="B2078" s="1" t="s">
        <v>67</v>
      </c>
      <c r="C2078" s="1" t="s">
        <v>68</v>
      </c>
      <c r="D2078" s="1" t="s">
        <v>46</v>
      </c>
      <c r="E2078" s="1" t="s">
        <v>8559</v>
      </c>
      <c r="F2078" s="1"/>
      <c r="G2078" s="1" t="s">
        <v>70</v>
      </c>
      <c r="H2078" s="1" t="s">
        <v>93</v>
      </c>
      <c r="I2078" s="1">
        <v>3500.0</v>
      </c>
      <c r="J2078" s="1"/>
      <c r="K2078" s="1"/>
      <c r="L2078" s="1" t="s">
        <v>151</v>
      </c>
      <c r="M2078" s="1" t="s">
        <v>8560</v>
      </c>
      <c r="N2078" s="1" t="s">
        <v>283</v>
      </c>
      <c r="O2078" s="1" t="s">
        <v>978</v>
      </c>
      <c r="P2078" s="2">
        <v>43748.4166666667</v>
      </c>
      <c r="Q2078" s="1" t="s">
        <v>373</v>
      </c>
      <c r="R2078" s="3">
        <v>43748.0</v>
      </c>
      <c r="S2078" s="1"/>
      <c r="T2078" s="1">
        <v>4313508.0</v>
      </c>
      <c r="U2078" s="1" t="s">
        <v>8501</v>
      </c>
      <c r="V2078" s="1" t="s">
        <v>145</v>
      </c>
      <c r="W2078" s="1" t="s">
        <v>59</v>
      </c>
      <c r="X2078" s="1"/>
      <c r="Y2078" s="1" t="str">
        <f>"02023000331202069"</f>
        <v>02023000331202069</v>
      </c>
      <c r="Z2078" s="1" t="s">
        <v>980</v>
      </c>
      <c r="AA2078" s="1" t="s">
        <v>8561</v>
      </c>
      <c r="AB2078" s="1" t="str">
        <f>"13352294000162"</f>
        <v>13352294000162</v>
      </c>
      <c r="AC2078" s="1"/>
      <c r="AD2078" s="1"/>
      <c r="AE2078" s="1"/>
      <c r="AF2078" s="1">
        <v>-50.248055</v>
      </c>
      <c r="AG2078" s="1">
        <v>-29.856945</v>
      </c>
      <c r="AH2078" s="1" t="s">
        <v>8562</v>
      </c>
      <c r="AI2078" s="1"/>
      <c r="AJ2078" s="1" t="s">
        <v>151</v>
      </c>
      <c r="AK2078" s="1"/>
      <c r="AL2078" s="1" t="s">
        <v>79</v>
      </c>
      <c r="AM2078" s="1" t="s">
        <v>65</v>
      </c>
      <c r="AN2078" s="1" t="s">
        <v>152</v>
      </c>
      <c r="AO2078" s="2">
        <v>44125.0</v>
      </c>
      <c r="AP2078" s="2">
        <v>44125.632349537</v>
      </c>
      <c r="AQ2078" s="1" t="s">
        <v>80</v>
      </c>
      <c r="AR2078" s="1" t="s">
        <v>6447</v>
      </c>
      <c r="AS2078" s="1"/>
      <c r="AT2078" s="2">
        <v>44269.931099537</v>
      </c>
    </row>
    <row r="2079" ht="13.5" customHeight="1">
      <c r="A2079" s="1">
        <v>2040532.0</v>
      </c>
      <c r="B2079" s="1" t="s">
        <v>67</v>
      </c>
      <c r="C2079" s="1" t="s">
        <v>68</v>
      </c>
      <c r="D2079" s="1" t="s">
        <v>46</v>
      </c>
      <c r="E2079" s="1" t="s">
        <v>8563</v>
      </c>
      <c r="F2079" s="1"/>
      <c r="G2079" s="1" t="s">
        <v>70</v>
      </c>
      <c r="H2079" s="1" t="s">
        <v>93</v>
      </c>
      <c r="I2079" s="1">
        <v>20000.0</v>
      </c>
      <c r="J2079" s="1"/>
      <c r="K2079" s="1"/>
      <c r="L2079" s="1" t="s">
        <v>800</v>
      </c>
      <c r="M2079" s="1" t="s">
        <v>8564</v>
      </c>
      <c r="N2079" s="1" t="s">
        <v>72</v>
      </c>
      <c r="O2079" s="1" t="s">
        <v>73</v>
      </c>
      <c r="P2079" s="2">
        <v>43748.375</v>
      </c>
      <c r="Q2079" s="1" t="s">
        <v>74</v>
      </c>
      <c r="R2079" s="3">
        <v>43738.0</v>
      </c>
      <c r="S2079" s="1"/>
      <c r="T2079" s="1">
        <v>1500503.0</v>
      </c>
      <c r="U2079" s="1" t="s">
        <v>8565</v>
      </c>
      <c r="V2079" s="1" t="s">
        <v>193</v>
      </c>
      <c r="W2079" s="1" t="s">
        <v>177</v>
      </c>
      <c r="X2079" s="1"/>
      <c r="Y2079" s="1"/>
      <c r="Z2079" s="1" t="s">
        <v>76</v>
      </c>
      <c r="AA2079" s="1" t="s">
        <v>8566</v>
      </c>
      <c r="AB2079" s="1" t="str">
        <f>"***039652**"</f>
        <v>***039652**</v>
      </c>
      <c r="AC2079" s="1"/>
      <c r="AD2079" s="1"/>
      <c r="AE2079" s="1"/>
      <c r="AF2079" s="1">
        <v>-52.607777</v>
      </c>
      <c r="AG2079" s="1">
        <v>-1.346389</v>
      </c>
      <c r="AH2079" s="1" t="s">
        <v>8567</v>
      </c>
      <c r="AI2079" s="1"/>
      <c r="AJ2079" s="1" t="s">
        <v>800</v>
      </c>
      <c r="AK2079" s="1"/>
      <c r="AL2079" s="1" t="s">
        <v>79</v>
      </c>
      <c r="AM2079" s="1" t="s">
        <v>65</v>
      </c>
      <c r="AN2079" s="1" t="s">
        <v>8487</v>
      </c>
      <c r="AO2079" s="2">
        <v>44127.0</v>
      </c>
      <c r="AP2079" s="2">
        <v>44127.7271990741</v>
      </c>
      <c r="AQ2079" s="1" t="s">
        <v>80</v>
      </c>
      <c r="AR2079" s="1" t="s">
        <v>1607</v>
      </c>
      <c r="AS2079" s="1"/>
      <c r="AT2079" s="2">
        <v>44269.931099537</v>
      </c>
    </row>
    <row r="2080" ht="13.5" customHeight="1">
      <c r="A2080" s="1">
        <v>2040531.0</v>
      </c>
      <c r="B2080" s="1" t="s">
        <v>67</v>
      </c>
      <c r="C2080" s="1" t="s">
        <v>68</v>
      </c>
      <c r="D2080" s="1" t="s">
        <v>46</v>
      </c>
      <c r="E2080" s="1" t="s">
        <v>8568</v>
      </c>
      <c r="F2080" s="1"/>
      <c r="G2080" s="1" t="s">
        <v>70</v>
      </c>
      <c r="H2080" s="1" t="s">
        <v>93</v>
      </c>
      <c r="I2080" s="1">
        <v>10500.0</v>
      </c>
      <c r="J2080" s="1"/>
      <c r="K2080" s="1"/>
      <c r="L2080" s="1" t="s">
        <v>151</v>
      </c>
      <c r="M2080" s="1" t="s">
        <v>8569</v>
      </c>
      <c r="N2080" s="1" t="s">
        <v>283</v>
      </c>
      <c r="O2080" s="1" t="s">
        <v>978</v>
      </c>
      <c r="P2080" s="2">
        <v>43748.3333333333</v>
      </c>
      <c r="Q2080" s="1" t="s">
        <v>373</v>
      </c>
      <c r="R2080" s="3">
        <v>43748.0</v>
      </c>
      <c r="S2080" s="1"/>
      <c r="T2080" s="1">
        <v>4313508.0</v>
      </c>
      <c r="U2080" s="1" t="s">
        <v>8501</v>
      </c>
      <c r="V2080" s="1" t="s">
        <v>145</v>
      </c>
      <c r="W2080" s="1" t="s">
        <v>59</v>
      </c>
      <c r="X2080" s="1"/>
      <c r="Y2080" s="1" t="str">
        <f>"02023000330202014"</f>
        <v>02023000330202014</v>
      </c>
      <c r="Z2080" s="1" t="s">
        <v>980</v>
      </c>
      <c r="AA2080" s="1" t="s">
        <v>8570</v>
      </c>
      <c r="AB2080" s="1" t="str">
        <f>"01387686000935"</f>
        <v>01387686000935</v>
      </c>
      <c r="AC2080" s="1"/>
      <c r="AD2080" s="1"/>
      <c r="AE2080" s="1"/>
      <c r="AF2080" s="1">
        <v>-50.248055</v>
      </c>
      <c r="AG2080" s="1">
        <v>-29.856945</v>
      </c>
      <c r="AH2080" s="1" t="s">
        <v>8571</v>
      </c>
      <c r="AI2080" s="1"/>
      <c r="AJ2080" s="1" t="s">
        <v>151</v>
      </c>
      <c r="AK2080" s="1"/>
      <c r="AL2080" s="1" t="s">
        <v>79</v>
      </c>
      <c r="AM2080" s="1" t="s">
        <v>65</v>
      </c>
      <c r="AN2080" s="1" t="s">
        <v>152</v>
      </c>
      <c r="AO2080" s="2">
        <v>44127.0</v>
      </c>
      <c r="AP2080" s="2">
        <v>44127.7266087963</v>
      </c>
      <c r="AQ2080" s="1" t="s">
        <v>80</v>
      </c>
      <c r="AR2080" s="1" t="s">
        <v>909</v>
      </c>
      <c r="AS2080" s="1"/>
      <c r="AT2080" s="2">
        <v>44269.931099537</v>
      </c>
    </row>
    <row r="2081" ht="13.5" customHeight="1">
      <c r="A2081" s="1">
        <v>2042805.0</v>
      </c>
      <c r="B2081" s="1" t="s">
        <v>67</v>
      </c>
      <c r="C2081" s="1" t="s">
        <v>68</v>
      </c>
      <c r="D2081" s="1" t="s">
        <v>46</v>
      </c>
      <c r="E2081" s="1" t="s">
        <v>8572</v>
      </c>
      <c r="F2081" s="1"/>
      <c r="G2081" s="1" t="s">
        <v>70</v>
      </c>
      <c r="H2081" s="1" t="s">
        <v>93</v>
      </c>
      <c r="I2081" s="1">
        <v>11439.3</v>
      </c>
      <c r="J2081" s="1"/>
      <c r="K2081" s="1"/>
      <c r="L2081" s="1" t="s">
        <v>898</v>
      </c>
      <c r="M2081" s="1" t="s">
        <v>8573</v>
      </c>
      <c r="N2081" s="1" t="s">
        <v>142</v>
      </c>
      <c r="O2081" s="1" t="s">
        <v>143</v>
      </c>
      <c r="P2081" s="2">
        <v>43748.2916666667</v>
      </c>
      <c r="Q2081" s="1" t="s">
        <v>373</v>
      </c>
      <c r="R2081" s="3">
        <v>43748.0</v>
      </c>
      <c r="S2081" s="1"/>
      <c r="T2081" s="1">
        <v>2211001.0</v>
      </c>
      <c r="U2081" s="1" t="s">
        <v>1667</v>
      </c>
      <c r="V2081" s="1" t="s">
        <v>895</v>
      </c>
      <c r="W2081" s="1" t="s">
        <v>113</v>
      </c>
      <c r="X2081" s="1"/>
      <c r="Y2081" s="1"/>
      <c r="Z2081" s="1" t="s">
        <v>147</v>
      </c>
      <c r="AA2081" s="1" t="s">
        <v>8574</v>
      </c>
      <c r="AB2081" s="1" t="str">
        <f>"***483077**"</f>
        <v>***483077**</v>
      </c>
      <c r="AC2081" s="1"/>
      <c r="AD2081" s="1"/>
      <c r="AE2081" s="1"/>
      <c r="AF2081" s="1">
        <v>-42.783889</v>
      </c>
      <c r="AG2081" s="1">
        <v>-5.065278</v>
      </c>
      <c r="AH2081" s="1" t="s">
        <v>8575</v>
      </c>
      <c r="AI2081" s="1"/>
      <c r="AJ2081" s="1" t="s">
        <v>898</v>
      </c>
      <c r="AK2081" s="1"/>
      <c r="AL2081" s="1" t="s">
        <v>79</v>
      </c>
      <c r="AM2081" s="1" t="s">
        <v>65</v>
      </c>
      <c r="AN2081" s="1" t="s">
        <v>152</v>
      </c>
      <c r="AO2081" s="2">
        <v>44217.0</v>
      </c>
      <c r="AP2081" s="2">
        <v>44217.5973263889</v>
      </c>
      <c r="AQ2081" s="1" t="s">
        <v>80</v>
      </c>
      <c r="AR2081" s="1" t="s">
        <v>181</v>
      </c>
      <c r="AS2081" s="1"/>
      <c r="AT2081" s="2">
        <v>44269.931099537</v>
      </c>
    </row>
    <row r="2082" ht="13.5" customHeight="1">
      <c r="A2082" s="1"/>
      <c r="B2082" s="1" t="s">
        <v>46</v>
      </c>
      <c r="C2082" s="1" t="s">
        <v>47</v>
      </c>
      <c r="D2082" s="1"/>
      <c r="E2082" s="1" t="s">
        <v>8576</v>
      </c>
      <c r="F2082" s="1"/>
      <c r="G2082" s="1" t="s">
        <v>49</v>
      </c>
      <c r="H2082" s="1" t="s">
        <v>50</v>
      </c>
      <c r="I2082" s="1">
        <v>1300.0</v>
      </c>
      <c r="J2082" s="1"/>
      <c r="K2082" s="1" t="s">
        <v>51</v>
      </c>
      <c r="L2082" s="1"/>
      <c r="M2082" s="1" t="s">
        <v>8577</v>
      </c>
      <c r="N2082" s="1" t="s">
        <v>123</v>
      </c>
      <c r="O2082" s="1" t="s">
        <v>73</v>
      </c>
      <c r="P2082" s="2">
        <v>43748.1680787037</v>
      </c>
      <c r="Q2082" s="1" t="s">
        <v>74</v>
      </c>
      <c r="R2082" s="1"/>
      <c r="S2082" s="1"/>
      <c r="T2082" s="1">
        <v>3509502.0</v>
      </c>
      <c r="U2082" s="1" t="s">
        <v>97</v>
      </c>
      <c r="V2082" s="1" t="s">
        <v>58</v>
      </c>
      <c r="W2082" s="1" t="s">
        <v>59</v>
      </c>
      <c r="X2082" s="1"/>
      <c r="Y2082" s="1" t="str">
        <f>"02027005564202018"</f>
        <v>02027005564202018</v>
      </c>
      <c r="Z2082" s="1" t="s">
        <v>76</v>
      </c>
      <c r="AA2082" s="1" t="s">
        <v>8578</v>
      </c>
      <c r="AB2082" s="1" t="str">
        <f>"61274247000190"</f>
        <v>61274247000190</v>
      </c>
      <c r="AC2082" s="1"/>
      <c r="AD2082" s="1" t="s">
        <v>62</v>
      </c>
      <c r="AE2082" s="1"/>
      <c r="AF2082" s="1">
        <v>-47.144169</v>
      </c>
      <c r="AG2082" s="1">
        <v>-23.007778</v>
      </c>
      <c r="AH2082" s="1" t="s">
        <v>8579</v>
      </c>
      <c r="AI2082" s="1"/>
      <c r="AJ2082" s="1" t="s">
        <v>64</v>
      </c>
      <c r="AK2082" s="1"/>
      <c r="AL2082" s="1"/>
      <c r="AM2082" s="1" t="s">
        <v>65</v>
      </c>
      <c r="AN2082" s="1"/>
      <c r="AO2082" s="1"/>
      <c r="AP2082" s="2">
        <v>44127.861412037</v>
      </c>
      <c r="AQ2082" s="1"/>
      <c r="AR2082" s="1" t="s">
        <v>899</v>
      </c>
      <c r="AS2082" s="1"/>
      <c r="AT2082" s="2">
        <v>44269.931099537</v>
      </c>
    </row>
    <row r="2083" ht="13.5" customHeight="1">
      <c r="A2083" s="1">
        <v>2040530.0</v>
      </c>
      <c r="B2083" s="1" t="s">
        <v>67</v>
      </c>
      <c r="C2083" s="1" t="s">
        <v>68</v>
      </c>
      <c r="D2083" s="1" t="s">
        <v>46</v>
      </c>
      <c r="E2083" s="1" t="s">
        <v>8580</v>
      </c>
      <c r="F2083" s="1"/>
      <c r="G2083" s="1" t="s">
        <v>70</v>
      </c>
      <c r="H2083" s="1" t="s">
        <v>93</v>
      </c>
      <c r="I2083" s="1">
        <v>5500.0</v>
      </c>
      <c r="J2083" s="1"/>
      <c r="K2083" s="1"/>
      <c r="L2083" s="1" t="s">
        <v>151</v>
      </c>
      <c r="M2083" s="1" t="s">
        <v>8581</v>
      </c>
      <c r="N2083" s="1" t="s">
        <v>283</v>
      </c>
      <c r="O2083" s="1" t="s">
        <v>978</v>
      </c>
      <c r="P2083" s="2">
        <v>43748.1666666667</v>
      </c>
      <c r="Q2083" s="1" t="s">
        <v>55</v>
      </c>
      <c r="R2083" s="1"/>
      <c r="S2083" s="1"/>
      <c r="T2083" s="1">
        <v>4313508.0</v>
      </c>
      <c r="U2083" s="1" t="s">
        <v>8501</v>
      </c>
      <c r="V2083" s="1" t="s">
        <v>145</v>
      </c>
      <c r="W2083" s="1" t="s">
        <v>59</v>
      </c>
      <c r="X2083" s="1"/>
      <c r="Y2083" s="1" t="str">
        <f>"02023000333202058"</f>
        <v>02023000333202058</v>
      </c>
      <c r="Z2083" s="1" t="s">
        <v>980</v>
      </c>
      <c r="AA2083" s="1" t="s">
        <v>8582</v>
      </c>
      <c r="AB2083" s="1" t="str">
        <f>"83630053000628"</f>
        <v>83630053000628</v>
      </c>
      <c r="AC2083" s="1"/>
      <c r="AD2083" s="1"/>
      <c r="AE2083" s="1"/>
      <c r="AF2083" s="1">
        <v>-50.248055</v>
      </c>
      <c r="AG2083" s="1">
        <v>-29.856945</v>
      </c>
      <c r="AH2083" s="1" t="s">
        <v>8583</v>
      </c>
      <c r="AI2083" s="1"/>
      <c r="AJ2083" s="1" t="s">
        <v>151</v>
      </c>
      <c r="AK2083" s="1"/>
      <c r="AL2083" s="1" t="s">
        <v>79</v>
      </c>
      <c r="AM2083" s="1" t="s">
        <v>65</v>
      </c>
      <c r="AN2083" s="1" t="s">
        <v>152</v>
      </c>
      <c r="AO2083" s="2">
        <v>44127.0</v>
      </c>
      <c r="AP2083" s="2">
        <v>44127.7256365741</v>
      </c>
      <c r="AQ2083" s="1" t="s">
        <v>80</v>
      </c>
      <c r="AR2083" s="1" t="s">
        <v>6447</v>
      </c>
      <c r="AS2083" s="1"/>
      <c r="AT2083" s="2">
        <v>44269.931099537</v>
      </c>
    </row>
    <row r="2084" ht="13.5" customHeight="1">
      <c r="A2084" s="1"/>
      <c r="B2084" s="1" t="s">
        <v>46</v>
      </c>
      <c r="C2084" s="1" t="s">
        <v>47</v>
      </c>
      <c r="D2084" s="1"/>
      <c r="E2084" s="1" t="s">
        <v>8584</v>
      </c>
      <c r="F2084" s="1"/>
      <c r="G2084" s="1"/>
      <c r="H2084" s="1" t="s">
        <v>50</v>
      </c>
      <c r="I2084" s="1"/>
      <c r="J2084" s="1"/>
      <c r="K2084" s="1"/>
      <c r="L2084" s="1"/>
      <c r="M2084" s="1"/>
      <c r="N2084" s="1" t="s">
        <v>72</v>
      </c>
      <c r="O2084" s="1" t="s">
        <v>1364</v>
      </c>
      <c r="P2084" s="2">
        <v>43747.8648148148</v>
      </c>
      <c r="Q2084" s="1"/>
      <c r="R2084" s="1"/>
      <c r="S2084" s="1"/>
      <c r="T2084" s="1"/>
      <c r="U2084" s="1"/>
      <c r="V2084" s="1"/>
      <c r="W2084" s="1"/>
      <c r="X2084" s="1"/>
      <c r="Y2084" s="1"/>
      <c r="Z2084" s="1"/>
      <c r="AA2084" s="1"/>
      <c r="AB2084" s="1"/>
      <c r="AC2084" s="1"/>
      <c r="AD2084" s="1"/>
      <c r="AE2084" s="1"/>
      <c r="AF2084" s="1"/>
      <c r="AG2084" s="1"/>
      <c r="AH2084" s="1"/>
      <c r="AI2084" s="1"/>
      <c r="AJ2084" s="1" t="s">
        <v>172</v>
      </c>
      <c r="AK2084" s="1"/>
      <c r="AL2084" s="1"/>
      <c r="AM2084" s="1" t="s">
        <v>65</v>
      </c>
      <c r="AN2084" s="1" t="s">
        <v>5373</v>
      </c>
      <c r="AO2084" s="1"/>
      <c r="AP2084" s="2">
        <v>44089.9827430556</v>
      </c>
      <c r="AQ2084" s="1"/>
      <c r="AR2084" s="1" t="s">
        <v>229</v>
      </c>
      <c r="AS2084" s="1"/>
      <c r="AT2084" s="2">
        <v>44269.931099537</v>
      </c>
    </row>
    <row r="2085" ht="13.5" customHeight="1">
      <c r="A2085" s="1"/>
      <c r="B2085" s="1" t="s">
        <v>46</v>
      </c>
      <c r="C2085" s="1" t="s">
        <v>47</v>
      </c>
      <c r="D2085" s="1"/>
      <c r="E2085" s="1" t="s">
        <v>8585</v>
      </c>
      <c r="F2085" s="1"/>
      <c r="G2085" s="1"/>
      <c r="H2085" s="1" t="s">
        <v>93</v>
      </c>
      <c r="I2085" s="1">
        <v>28000.0</v>
      </c>
      <c r="J2085" s="1"/>
      <c r="K2085" s="1"/>
      <c r="L2085" s="1"/>
      <c r="M2085" s="1" t="s">
        <v>8586</v>
      </c>
      <c r="N2085" s="1" t="s">
        <v>142</v>
      </c>
      <c r="O2085" s="1" t="s">
        <v>143</v>
      </c>
      <c r="P2085" s="2">
        <v>43747.8125347222</v>
      </c>
      <c r="Q2085" s="1" t="s">
        <v>373</v>
      </c>
      <c r="R2085" s="1"/>
      <c r="S2085" s="1"/>
      <c r="T2085" s="1">
        <v>5006259.0</v>
      </c>
      <c r="U2085" s="1" t="s">
        <v>8587</v>
      </c>
      <c r="V2085" s="1" t="s">
        <v>529</v>
      </c>
      <c r="W2085" s="1" t="s">
        <v>59</v>
      </c>
      <c r="X2085" s="1"/>
      <c r="Y2085" s="1"/>
      <c r="Z2085" s="1" t="s">
        <v>147</v>
      </c>
      <c r="AA2085" s="1" t="s">
        <v>8588</v>
      </c>
      <c r="AB2085" s="1" t="str">
        <f>"***176849**"</f>
        <v>***176849**</v>
      </c>
      <c r="AC2085" s="1">
        <v>2.0</v>
      </c>
      <c r="AD2085" s="1" t="s">
        <v>116</v>
      </c>
      <c r="AE2085" s="1"/>
      <c r="AF2085" s="1">
        <v>-53.823055</v>
      </c>
      <c r="AG2085" s="1">
        <v>-22.637222</v>
      </c>
      <c r="AH2085" s="1" t="s">
        <v>8589</v>
      </c>
      <c r="AI2085" s="1"/>
      <c r="AJ2085" s="1" t="s">
        <v>533</v>
      </c>
      <c r="AK2085" s="1"/>
      <c r="AL2085" s="1"/>
      <c r="AM2085" s="1" t="s">
        <v>65</v>
      </c>
      <c r="AN2085" s="1" t="s">
        <v>8590</v>
      </c>
      <c r="AO2085" s="1"/>
      <c r="AP2085" s="2">
        <v>43768.8173842593</v>
      </c>
      <c r="AQ2085" s="1"/>
      <c r="AR2085" s="1" t="s">
        <v>1794</v>
      </c>
      <c r="AS2085" s="1"/>
      <c r="AT2085" s="2">
        <v>44269.931099537</v>
      </c>
    </row>
    <row r="2086" ht="13.5" customHeight="1">
      <c r="A2086" s="1">
        <v>2038849.0</v>
      </c>
      <c r="B2086" s="1" t="s">
        <v>67</v>
      </c>
      <c r="C2086" s="1" t="s">
        <v>68</v>
      </c>
      <c r="D2086" s="1" t="s">
        <v>46</v>
      </c>
      <c r="E2086" s="1" t="s">
        <v>8591</v>
      </c>
      <c r="F2086" s="1"/>
      <c r="G2086" s="1" t="s">
        <v>70</v>
      </c>
      <c r="H2086" s="1" t="s">
        <v>93</v>
      </c>
      <c r="I2086" s="1">
        <v>1884.0</v>
      </c>
      <c r="J2086" s="1"/>
      <c r="K2086" s="1"/>
      <c r="L2086" s="1" t="s">
        <v>172</v>
      </c>
      <c r="M2086" s="1" t="s">
        <v>8592</v>
      </c>
      <c r="N2086" s="1" t="s">
        <v>142</v>
      </c>
      <c r="O2086" s="1" t="s">
        <v>143</v>
      </c>
      <c r="P2086" s="2">
        <v>43747.7916666667</v>
      </c>
      <c r="Q2086" s="1" t="s">
        <v>373</v>
      </c>
      <c r="R2086" s="3">
        <v>43747.0</v>
      </c>
      <c r="S2086" s="1"/>
      <c r="T2086" s="1">
        <v>1505502.0</v>
      </c>
      <c r="U2086" s="1" t="s">
        <v>1313</v>
      </c>
      <c r="V2086" s="1" t="s">
        <v>193</v>
      </c>
      <c r="W2086" s="1" t="s">
        <v>177</v>
      </c>
      <c r="X2086" s="1"/>
      <c r="Y2086" s="1" t="str">
        <f>"02001017766202009"</f>
        <v>02001017766202009</v>
      </c>
      <c r="Z2086" s="1" t="s">
        <v>147</v>
      </c>
      <c r="AA2086" s="1" t="s">
        <v>8593</v>
      </c>
      <c r="AB2086" s="1" t="str">
        <f>"04761870000134"</f>
        <v>04761870000134</v>
      </c>
      <c r="AC2086" s="1"/>
      <c r="AD2086" s="1"/>
      <c r="AE2086" s="1"/>
      <c r="AF2086" s="1">
        <v>-49.130833</v>
      </c>
      <c r="AG2086" s="1">
        <v>-5.371944</v>
      </c>
      <c r="AH2086" s="1" t="s">
        <v>8594</v>
      </c>
      <c r="AI2086" s="1"/>
      <c r="AJ2086" s="1" t="s">
        <v>172</v>
      </c>
      <c r="AK2086" s="1"/>
      <c r="AL2086" s="1" t="s">
        <v>79</v>
      </c>
      <c r="AM2086" s="1" t="s">
        <v>65</v>
      </c>
      <c r="AN2086" s="1" t="s">
        <v>6258</v>
      </c>
      <c r="AO2086" s="2">
        <v>44047.0</v>
      </c>
      <c r="AP2086" s="2">
        <v>44047.3546643519</v>
      </c>
      <c r="AQ2086" s="1" t="s">
        <v>80</v>
      </c>
      <c r="AR2086" s="1" t="s">
        <v>181</v>
      </c>
      <c r="AS2086" s="1"/>
      <c r="AT2086" s="2">
        <v>44269.931099537</v>
      </c>
    </row>
    <row r="2087" ht="13.5" customHeight="1">
      <c r="A2087" s="1">
        <v>2035562.0</v>
      </c>
      <c r="B2087" s="1" t="s">
        <v>67</v>
      </c>
      <c r="C2087" s="1" t="s">
        <v>68</v>
      </c>
      <c r="D2087" s="1" t="s">
        <v>46</v>
      </c>
      <c r="E2087" s="1" t="s">
        <v>8595</v>
      </c>
      <c r="F2087" s="1"/>
      <c r="G2087" s="1" t="s">
        <v>70</v>
      </c>
      <c r="H2087" s="1" t="s">
        <v>50</v>
      </c>
      <c r="I2087" s="1">
        <v>100000.0</v>
      </c>
      <c r="J2087" s="1"/>
      <c r="K2087" s="1"/>
      <c r="L2087" s="1" t="s">
        <v>172</v>
      </c>
      <c r="M2087" s="1" t="s">
        <v>8596</v>
      </c>
      <c r="N2087" s="1" t="s">
        <v>72</v>
      </c>
      <c r="O2087" s="1" t="s">
        <v>213</v>
      </c>
      <c r="P2087" s="2">
        <v>43747.6666666667</v>
      </c>
      <c r="Q2087" s="1" t="s">
        <v>74</v>
      </c>
      <c r="R2087" s="3">
        <v>43787.0</v>
      </c>
      <c r="S2087" s="1"/>
      <c r="T2087" s="1">
        <v>3304557.0</v>
      </c>
      <c r="U2087" s="1" t="s">
        <v>286</v>
      </c>
      <c r="V2087" s="1" t="s">
        <v>287</v>
      </c>
      <c r="W2087" s="1" t="s">
        <v>288</v>
      </c>
      <c r="X2087" s="1"/>
      <c r="Y2087" s="1"/>
      <c r="Z2087" s="1" t="s">
        <v>215</v>
      </c>
      <c r="AA2087" s="1" t="s">
        <v>907</v>
      </c>
      <c r="AB2087" s="1" t="str">
        <f t="shared" ref="AB2087:AB2088" si="129">"33000167000292"</f>
        <v>33000167000292</v>
      </c>
      <c r="AC2087" s="1"/>
      <c r="AD2087" s="1"/>
      <c r="AE2087" s="1"/>
      <c r="AF2087" s="1">
        <v>-40.676666</v>
      </c>
      <c r="AG2087" s="1">
        <v>-22.701389</v>
      </c>
      <c r="AH2087" s="1" t="s">
        <v>8597</v>
      </c>
      <c r="AI2087" s="1"/>
      <c r="AJ2087" s="1" t="s">
        <v>172</v>
      </c>
      <c r="AK2087" s="1"/>
      <c r="AL2087" s="1" t="s">
        <v>79</v>
      </c>
      <c r="AM2087" s="1" t="s">
        <v>65</v>
      </c>
      <c r="AN2087" s="1" t="s">
        <v>5373</v>
      </c>
      <c r="AO2087" s="2">
        <v>43909.0</v>
      </c>
      <c r="AP2087" s="2">
        <v>43909.3581597222</v>
      </c>
      <c r="AQ2087" s="1" t="s">
        <v>80</v>
      </c>
      <c r="AR2087" s="1" t="s">
        <v>462</v>
      </c>
      <c r="AS2087" s="1"/>
      <c r="AT2087" s="2">
        <v>44269.931099537</v>
      </c>
    </row>
    <row r="2088" ht="13.5" customHeight="1">
      <c r="A2088" s="1">
        <v>2035595.0</v>
      </c>
      <c r="B2088" s="1" t="s">
        <v>67</v>
      </c>
      <c r="C2088" s="1" t="s">
        <v>68</v>
      </c>
      <c r="D2088" s="1" t="s">
        <v>46</v>
      </c>
      <c r="E2088" s="1" t="s">
        <v>8598</v>
      </c>
      <c r="F2088" s="1"/>
      <c r="G2088" s="1" t="s">
        <v>70</v>
      </c>
      <c r="H2088" s="1" t="s">
        <v>50</v>
      </c>
      <c r="I2088" s="1">
        <v>200000.0</v>
      </c>
      <c r="J2088" s="1"/>
      <c r="K2088" s="1"/>
      <c r="L2088" s="1" t="s">
        <v>172</v>
      </c>
      <c r="M2088" s="1" t="s">
        <v>8599</v>
      </c>
      <c r="N2088" s="1" t="s">
        <v>72</v>
      </c>
      <c r="O2088" s="1" t="s">
        <v>213</v>
      </c>
      <c r="P2088" s="2">
        <v>43747.6666666667</v>
      </c>
      <c r="Q2088" s="1" t="s">
        <v>74</v>
      </c>
      <c r="R2088" s="3">
        <v>43787.0</v>
      </c>
      <c r="S2088" s="1"/>
      <c r="T2088" s="1">
        <v>3304557.0</v>
      </c>
      <c r="U2088" s="1" t="s">
        <v>286</v>
      </c>
      <c r="V2088" s="1" t="s">
        <v>287</v>
      </c>
      <c r="W2088" s="1" t="s">
        <v>288</v>
      </c>
      <c r="X2088" s="1"/>
      <c r="Y2088" s="1"/>
      <c r="Z2088" s="1" t="s">
        <v>215</v>
      </c>
      <c r="AA2088" s="1" t="s">
        <v>907</v>
      </c>
      <c r="AB2088" s="1" t="str">
        <f t="shared" si="129"/>
        <v>33000167000292</v>
      </c>
      <c r="AC2088" s="1"/>
      <c r="AD2088" s="1"/>
      <c r="AE2088" s="1"/>
      <c r="AF2088" s="1">
        <v>-40.676666</v>
      </c>
      <c r="AG2088" s="1">
        <v>-22.701389</v>
      </c>
      <c r="AH2088" s="1" t="s">
        <v>8600</v>
      </c>
      <c r="AI2088" s="1"/>
      <c r="AJ2088" s="1" t="s">
        <v>172</v>
      </c>
      <c r="AK2088" s="1"/>
      <c r="AL2088" s="1" t="s">
        <v>79</v>
      </c>
      <c r="AM2088" s="1" t="s">
        <v>65</v>
      </c>
      <c r="AN2088" s="1" t="s">
        <v>5373</v>
      </c>
      <c r="AO2088" s="2">
        <v>43909.0</v>
      </c>
      <c r="AP2088" s="2">
        <v>43909.6078472222</v>
      </c>
      <c r="AQ2088" s="1" t="s">
        <v>80</v>
      </c>
      <c r="AR2088" s="1" t="s">
        <v>462</v>
      </c>
      <c r="AS2088" s="1"/>
      <c r="AT2088" s="2">
        <v>44269.931099537</v>
      </c>
    </row>
    <row r="2089" ht="13.5" customHeight="1">
      <c r="A2089" s="1">
        <v>2036942.0</v>
      </c>
      <c r="B2089" s="1" t="s">
        <v>67</v>
      </c>
      <c r="C2089" s="1" t="s">
        <v>68</v>
      </c>
      <c r="D2089" s="1" t="s">
        <v>46</v>
      </c>
      <c r="E2089" s="1" t="s">
        <v>8601</v>
      </c>
      <c r="F2089" s="1"/>
      <c r="G2089" s="1" t="s">
        <v>70</v>
      </c>
      <c r="H2089" s="1" t="s">
        <v>50</v>
      </c>
      <c r="I2089" s="1">
        <v>30000.0</v>
      </c>
      <c r="J2089" s="1"/>
      <c r="K2089" s="1"/>
      <c r="L2089" s="1" t="s">
        <v>65</v>
      </c>
      <c r="M2089" s="1" t="s">
        <v>8602</v>
      </c>
      <c r="N2089" s="1" t="s">
        <v>72</v>
      </c>
      <c r="O2089" s="1" t="s">
        <v>213</v>
      </c>
      <c r="P2089" s="2">
        <v>43747.6666666667</v>
      </c>
      <c r="Q2089" s="1" t="s">
        <v>74</v>
      </c>
      <c r="R2089" s="3">
        <v>43788.0</v>
      </c>
      <c r="S2089" s="1"/>
      <c r="T2089" s="1">
        <v>3304557.0</v>
      </c>
      <c r="U2089" s="1" t="s">
        <v>286</v>
      </c>
      <c r="V2089" s="1" t="s">
        <v>287</v>
      </c>
      <c r="W2089" s="1" t="s">
        <v>288</v>
      </c>
      <c r="X2089" s="1"/>
      <c r="Y2089" s="1" t="str">
        <f>"02027018047201975"</f>
        <v>02027018047201975</v>
      </c>
      <c r="Z2089" s="1" t="s">
        <v>215</v>
      </c>
      <c r="AA2089" s="1" t="s">
        <v>289</v>
      </c>
      <c r="AB2089" s="1" t="str">
        <f>"33000167000101"</f>
        <v>33000167000101</v>
      </c>
      <c r="AC2089" s="1"/>
      <c r="AD2089" s="1" t="s">
        <v>116</v>
      </c>
      <c r="AE2089" s="1"/>
      <c r="AF2089" s="1">
        <v>-39.957222</v>
      </c>
      <c r="AG2089" s="1">
        <v>-22.423333</v>
      </c>
      <c r="AH2089" s="1" t="s">
        <v>8597</v>
      </c>
      <c r="AI2089" s="1"/>
      <c r="AJ2089" s="1" t="s">
        <v>172</v>
      </c>
      <c r="AK2089" s="1" t="s">
        <v>5377</v>
      </c>
      <c r="AL2089" s="1" t="s">
        <v>79</v>
      </c>
      <c r="AM2089" s="1" t="s">
        <v>65</v>
      </c>
      <c r="AN2089" s="1" t="s">
        <v>5373</v>
      </c>
      <c r="AO2089" s="2">
        <v>43980.0</v>
      </c>
      <c r="AP2089" s="2">
        <v>43980.4822800926</v>
      </c>
      <c r="AQ2089" s="1" t="s">
        <v>80</v>
      </c>
      <c r="AR2089" s="1" t="s">
        <v>4024</v>
      </c>
      <c r="AS2089" s="1"/>
      <c r="AT2089" s="2">
        <v>44269.931099537</v>
      </c>
    </row>
    <row r="2090" ht="13.5" customHeight="1">
      <c r="A2090" s="1">
        <v>2040483.0</v>
      </c>
      <c r="B2090" s="1" t="s">
        <v>67</v>
      </c>
      <c r="C2090" s="1" t="s">
        <v>68</v>
      </c>
      <c r="D2090" s="1" t="s">
        <v>46</v>
      </c>
      <c r="E2090" s="1" t="s">
        <v>8603</v>
      </c>
      <c r="F2090" s="1"/>
      <c r="G2090" s="1" t="s">
        <v>70</v>
      </c>
      <c r="H2090" s="1" t="s">
        <v>50</v>
      </c>
      <c r="I2090" s="1">
        <v>100000.0</v>
      </c>
      <c r="J2090" s="1"/>
      <c r="K2090" s="1"/>
      <c r="L2090" s="1" t="s">
        <v>172</v>
      </c>
      <c r="M2090" s="1" t="s">
        <v>8604</v>
      </c>
      <c r="N2090" s="1" t="s">
        <v>72</v>
      </c>
      <c r="O2090" s="1" t="s">
        <v>213</v>
      </c>
      <c r="P2090" s="2">
        <v>43747.6666666667</v>
      </c>
      <c r="Q2090" s="1" t="s">
        <v>74</v>
      </c>
      <c r="R2090" s="3">
        <v>43787.0</v>
      </c>
      <c r="S2090" s="1"/>
      <c r="T2090" s="1">
        <v>3304557.0</v>
      </c>
      <c r="U2090" s="1" t="s">
        <v>286</v>
      </c>
      <c r="V2090" s="1" t="s">
        <v>287</v>
      </c>
      <c r="W2090" s="1" t="s">
        <v>288</v>
      </c>
      <c r="X2090" s="1"/>
      <c r="Y2090" s="1"/>
      <c r="Z2090" s="1" t="s">
        <v>215</v>
      </c>
      <c r="AA2090" s="1" t="s">
        <v>907</v>
      </c>
      <c r="AB2090" s="1" t="str">
        <f t="shared" ref="AB2090:AB2093" si="130">"33000167000292"</f>
        <v>33000167000292</v>
      </c>
      <c r="AC2090" s="1"/>
      <c r="AD2090" s="1"/>
      <c r="AE2090" s="1"/>
      <c r="AF2090" s="1">
        <v>-40.676666</v>
      </c>
      <c r="AG2090" s="1">
        <v>-22.701389</v>
      </c>
      <c r="AH2090" s="1" t="s">
        <v>8605</v>
      </c>
      <c r="AI2090" s="1"/>
      <c r="AJ2090" s="1" t="s">
        <v>172</v>
      </c>
      <c r="AK2090" s="1"/>
      <c r="AL2090" s="1" t="s">
        <v>79</v>
      </c>
      <c r="AM2090" s="1" t="s">
        <v>65</v>
      </c>
      <c r="AN2090" s="1" t="s">
        <v>5373</v>
      </c>
      <c r="AO2090" s="2">
        <v>44127.0</v>
      </c>
      <c r="AP2090" s="2">
        <v>44127.6553472222</v>
      </c>
      <c r="AQ2090" s="1" t="s">
        <v>80</v>
      </c>
      <c r="AR2090" s="1" t="s">
        <v>462</v>
      </c>
      <c r="AS2090" s="1"/>
      <c r="AT2090" s="2">
        <v>44269.931099537</v>
      </c>
    </row>
    <row r="2091" ht="13.5" customHeight="1">
      <c r="A2091" s="1">
        <v>2040484.0</v>
      </c>
      <c r="B2091" s="1" t="s">
        <v>67</v>
      </c>
      <c r="C2091" s="1" t="s">
        <v>68</v>
      </c>
      <c r="D2091" s="1" t="s">
        <v>46</v>
      </c>
      <c r="E2091" s="1" t="s">
        <v>8606</v>
      </c>
      <c r="F2091" s="1"/>
      <c r="G2091" s="1" t="s">
        <v>70</v>
      </c>
      <c r="H2091" s="1" t="s">
        <v>50</v>
      </c>
      <c r="I2091" s="1">
        <v>100000.0</v>
      </c>
      <c r="J2091" s="1"/>
      <c r="K2091" s="1"/>
      <c r="L2091" s="1" t="s">
        <v>172</v>
      </c>
      <c r="M2091" s="1" t="s">
        <v>8607</v>
      </c>
      <c r="N2091" s="1" t="s">
        <v>72</v>
      </c>
      <c r="O2091" s="1" t="s">
        <v>213</v>
      </c>
      <c r="P2091" s="2">
        <v>43747.6666666667</v>
      </c>
      <c r="Q2091" s="1" t="s">
        <v>74</v>
      </c>
      <c r="R2091" s="3">
        <v>43787.0</v>
      </c>
      <c r="S2091" s="1"/>
      <c r="T2091" s="1">
        <v>3304557.0</v>
      </c>
      <c r="U2091" s="1" t="s">
        <v>286</v>
      </c>
      <c r="V2091" s="1" t="s">
        <v>287</v>
      </c>
      <c r="W2091" s="1" t="s">
        <v>288</v>
      </c>
      <c r="X2091" s="1"/>
      <c r="Y2091" s="1"/>
      <c r="Z2091" s="1" t="s">
        <v>215</v>
      </c>
      <c r="AA2091" s="1" t="s">
        <v>907</v>
      </c>
      <c r="AB2091" s="1" t="str">
        <f t="shared" si="130"/>
        <v>33000167000292</v>
      </c>
      <c r="AC2091" s="1"/>
      <c r="AD2091" s="1"/>
      <c r="AE2091" s="1"/>
      <c r="AF2091" s="1">
        <v>-40.676666</v>
      </c>
      <c r="AG2091" s="1">
        <v>-22.701389</v>
      </c>
      <c r="AH2091" s="1" t="s">
        <v>8605</v>
      </c>
      <c r="AI2091" s="1"/>
      <c r="AJ2091" s="1" t="s">
        <v>172</v>
      </c>
      <c r="AK2091" s="1"/>
      <c r="AL2091" s="1" t="s">
        <v>79</v>
      </c>
      <c r="AM2091" s="1" t="s">
        <v>65</v>
      </c>
      <c r="AN2091" s="1" t="s">
        <v>5373</v>
      </c>
      <c r="AO2091" s="2">
        <v>44127.0</v>
      </c>
      <c r="AP2091" s="2">
        <v>44127.6556481482</v>
      </c>
      <c r="AQ2091" s="1" t="s">
        <v>80</v>
      </c>
      <c r="AR2091" s="1" t="s">
        <v>462</v>
      </c>
      <c r="AS2091" s="1"/>
      <c r="AT2091" s="2">
        <v>44269.931099537</v>
      </c>
    </row>
    <row r="2092" ht="13.5" customHeight="1">
      <c r="A2092" s="1">
        <v>2040485.0</v>
      </c>
      <c r="B2092" s="1" t="s">
        <v>67</v>
      </c>
      <c r="C2092" s="1" t="s">
        <v>68</v>
      </c>
      <c r="D2092" s="1" t="s">
        <v>46</v>
      </c>
      <c r="E2092" s="1" t="s">
        <v>8608</v>
      </c>
      <c r="F2092" s="1"/>
      <c r="G2092" s="1" t="s">
        <v>70</v>
      </c>
      <c r="H2092" s="1" t="s">
        <v>50</v>
      </c>
      <c r="I2092" s="1">
        <v>200000.0</v>
      </c>
      <c r="J2092" s="1"/>
      <c r="K2092" s="1"/>
      <c r="L2092" s="1" t="s">
        <v>172</v>
      </c>
      <c r="M2092" s="1" t="s">
        <v>8609</v>
      </c>
      <c r="N2092" s="1" t="s">
        <v>72</v>
      </c>
      <c r="O2092" s="1" t="s">
        <v>213</v>
      </c>
      <c r="P2092" s="2">
        <v>43747.6666666667</v>
      </c>
      <c r="Q2092" s="1" t="s">
        <v>74</v>
      </c>
      <c r="R2092" s="3">
        <v>43787.0</v>
      </c>
      <c r="S2092" s="1"/>
      <c r="T2092" s="1">
        <v>3304557.0</v>
      </c>
      <c r="U2092" s="1" t="s">
        <v>286</v>
      </c>
      <c r="V2092" s="1" t="s">
        <v>287</v>
      </c>
      <c r="W2092" s="1" t="s">
        <v>288</v>
      </c>
      <c r="X2092" s="1"/>
      <c r="Y2092" s="1"/>
      <c r="Z2092" s="1" t="s">
        <v>215</v>
      </c>
      <c r="AA2092" s="1" t="s">
        <v>907</v>
      </c>
      <c r="AB2092" s="1" t="str">
        <f t="shared" si="130"/>
        <v>33000167000292</v>
      </c>
      <c r="AC2092" s="1"/>
      <c r="AD2092" s="1"/>
      <c r="AE2092" s="1"/>
      <c r="AF2092" s="1">
        <v>-40.676666</v>
      </c>
      <c r="AG2092" s="1">
        <v>-22.701389</v>
      </c>
      <c r="AH2092" s="1" t="s">
        <v>8600</v>
      </c>
      <c r="AI2092" s="1"/>
      <c r="AJ2092" s="1" t="s">
        <v>172</v>
      </c>
      <c r="AK2092" s="1"/>
      <c r="AL2092" s="1" t="s">
        <v>79</v>
      </c>
      <c r="AM2092" s="1" t="s">
        <v>65</v>
      </c>
      <c r="AN2092" s="1" t="s">
        <v>5373</v>
      </c>
      <c r="AO2092" s="2">
        <v>44127.0</v>
      </c>
      <c r="AP2092" s="2">
        <v>44127.6681828704</v>
      </c>
      <c r="AQ2092" s="1" t="s">
        <v>80</v>
      </c>
      <c r="AR2092" s="1" t="s">
        <v>462</v>
      </c>
      <c r="AS2092" s="1"/>
      <c r="AT2092" s="2">
        <v>44269.931099537</v>
      </c>
    </row>
    <row r="2093" ht="13.5" customHeight="1">
      <c r="A2093" s="1">
        <v>2040528.0</v>
      </c>
      <c r="B2093" s="1" t="s">
        <v>67</v>
      </c>
      <c r="C2093" s="1" t="s">
        <v>68</v>
      </c>
      <c r="D2093" s="1" t="s">
        <v>46</v>
      </c>
      <c r="E2093" s="1" t="s">
        <v>8610</v>
      </c>
      <c r="F2093" s="1"/>
      <c r="G2093" s="1" t="s">
        <v>70</v>
      </c>
      <c r="H2093" s="1" t="s">
        <v>50</v>
      </c>
      <c r="I2093" s="1">
        <v>200000.0</v>
      </c>
      <c r="J2093" s="1"/>
      <c r="K2093" s="1"/>
      <c r="L2093" s="1" t="s">
        <v>172</v>
      </c>
      <c r="M2093" s="1" t="s">
        <v>8611</v>
      </c>
      <c r="N2093" s="1" t="s">
        <v>72</v>
      </c>
      <c r="O2093" s="1" t="s">
        <v>213</v>
      </c>
      <c r="P2093" s="2">
        <v>43747.6666666667</v>
      </c>
      <c r="Q2093" s="1" t="s">
        <v>74</v>
      </c>
      <c r="R2093" s="3">
        <v>43787.0</v>
      </c>
      <c r="S2093" s="1"/>
      <c r="T2093" s="1">
        <v>3304557.0</v>
      </c>
      <c r="U2093" s="1" t="s">
        <v>286</v>
      </c>
      <c r="V2093" s="1" t="s">
        <v>287</v>
      </c>
      <c r="W2093" s="1" t="s">
        <v>288</v>
      </c>
      <c r="X2093" s="1"/>
      <c r="Y2093" s="1"/>
      <c r="Z2093" s="1" t="s">
        <v>215</v>
      </c>
      <c r="AA2093" s="1" t="s">
        <v>907</v>
      </c>
      <c r="AB2093" s="1" t="str">
        <f t="shared" si="130"/>
        <v>33000167000292</v>
      </c>
      <c r="AC2093" s="1"/>
      <c r="AD2093" s="1"/>
      <c r="AE2093" s="1"/>
      <c r="AF2093" s="1">
        <v>-40.676666</v>
      </c>
      <c r="AG2093" s="1">
        <v>-22.701389</v>
      </c>
      <c r="AH2093" s="1" t="s">
        <v>8600</v>
      </c>
      <c r="AI2093" s="1"/>
      <c r="AJ2093" s="1" t="s">
        <v>172</v>
      </c>
      <c r="AK2093" s="1"/>
      <c r="AL2093" s="1" t="s">
        <v>79</v>
      </c>
      <c r="AM2093" s="1" t="s">
        <v>65</v>
      </c>
      <c r="AN2093" s="1" t="s">
        <v>5373</v>
      </c>
      <c r="AO2093" s="2">
        <v>44127.0</v>
      </c>
      <c r="AP2093" s="2">
        <v>44127.7238541667</v>
      </c>
      <c r="AQ2093" s="1" t="s">
        <v>80</v>
      </c>
      <c r="AR2093" s="1" t="s">
        <v>462</v>
      </c>
      <c r="AS2093" s="1"/>
      <c r="AT2093" s="2">
        <v>44269.931099537</v>
      </c>
    </row>
    <row r="2094" ht="13.5" customHeight="1">
      <c r="A2094" s="1">
        <v>2040529.0</v>
      </c>
      <c r="B2094" s="1" t="s">
        <v>67</v>
      </c>
      <c r="C2094" s="1" t="s">
        <v>68</v>
      </c>
      <c r="D2094" s="1" t="s">
        <v>46</v>
      </c>
      <c r="E2094" s="1" t="s">
        <v>8612</v>
      </c>
      <c r="F2094" s="1"/>
      <c r="G2094" s="1" t="s">
        <v>70</v>
      </c>
      <c r="H2094" s="1" t="s">
        <v>50</v>
      </c>
      <c r="I2094" s="1">
        <v>30000.0</v>
      </c>
      <c r="J2094" s="1"/>
      <c r="K2094" s="1"/>
      <c r="L2094" s="1" t="s">
        <v>172</v>
      </c>
      <c r="M2094" s="1" t="s">
        <v>8613</v>
      </c>
      <c r="N2094" s="1" t="s">
        <v>72</v>
      </c>
      <c r="O2094" s="1" t="s">
        <v>213</v>
      </c>
      <c r="P2094" s="2">
        <v>43747.6666666667</v>
      </c>
      <c r="Q2094" s="1" t="s">
        <v>74</v>
      </c>
      <c r="R2094" s="3">
        <v>43787.0</v>
      </c>
      <c r="S2094" s="1"/>
      <c r="T2094" s="1">
        <v>3204302.0</v>
      </c>
      <c r="U2094" s="1" t="s">
        <v>1380</v>
      </c>
      <c r="V2094" s="1" t="s">
        <v>403</v>
      </c>
      <c r="W2094" s="1" t="s">
        <v>288</v>
      </c>
      <c r="X2094" s="1"/>
      <c r="Y2094" s="1"/>
      <c r="Z2094" s="1" t="s">
        <v>215</v>
      </c>
      <c r="AA2094" s="1" t="s">
        <v>4026</v>
      </c>
      <c r="AB2094" s="1" t="str">
        <f>"10456016000167"</f>
        <v>10456016000167</v>
      </c>
      <c r="AC2094" s="1"/>
      <c r="AD2094" s="1"/>
      <c r="AE2094" s="1"/>
      <c r="AF2094" s="1">
        <v>-39.743889</v>
      </c>
      <c r="AG2094" s="1">
        <v>-21.208055</v>
      </c>
      <c r="AH2094" s="1" t="s">
        <v>8614</v>
      </c>
      <c r="AI2094" s="1"/>
      <c r="AJ2094" s="1" t="s">
        <v>172</v>
      </c>
      <c r="AK2094" s="1"/>
      <c r="AL2094" s="1" t="s">
        <v>79</v>
      </c>
      <c r="AM2094" s="1" t="s">
        <v>65</v>
      </c>
      <c r="AN2094" s="1" t="s">
        <v>5373</v>
      </c>
      <c r="AO2094" s="2">
        <v>44127.0</v>
      </c>
      <c r="AP2094" s="2">
        <v>44127.7244791667</v>
      </c>
      <c r="AQ2094" s="1" t="s">
        <v>80</v>
      </c>
      <c r="AR2094" s="1" t="s">
        <v>462</v>
      </c>
      <c r="AS2094" s="1"/>
      <c r="AT2094" s="2">
        <v>44269.931099537</v>
      </c>
    </row>
    <row r="2095" ht="13.5" customHeight="1">
      <c r="A2095" s="1">
        <v>2036941.0</v>
      </c>
      <c r="B2095" s="1" t="s">
        <v>67</v>
      </c>
      <c r="C2095" s="1" t="s">
        <v>68</v>
      </c>
      <c r="D2095" s="1" t="s">
        <v>46</v>
      </c>
      <c r="E2095" s="1" t="s">
        <v>8615</v>
      </c>
      <c r="F2095" s="1"/>
      <c r="G2095" s="1" t="s">
        <v>70</v>
      </c>
      <c r="H2095" s="1" t="s">
        <v>50</v>
      </c>
      <c r="I2095" s="1">
        <v>100000.0</v>
      </c>
      <c r="J2095" s="1"/>
      <c r="K2095" s="1"/>
      <c r="L2095" s="1" t="s">
        <v>65</v>
      </c>
      <c r="M2095" s="1" t="s">
        <v>8616</v>
      </c>
      <c r="N2095" s="1" t="s">
        <v>72</v>
      </c>
      <c r="O2095" s="1" t="s">
        <v>213</v>
      </c>
      <c r="P2095" s="2">
        <v>43747.625</v>
      </c>
      <c r="Q2095" s="1" t="s">
        <v>74</v>
      </c>
      <c r="R2095" s="3">
        <v>43788.0</v>
      </c>
      <c r="S2095" s="1"/>
      <c r="T2095" s="1">
        <v>3304557.0</v>
      </c>
      <c r="U2095" s="1" t="s">
        <v>286</v>
      </c>
      <c r="V2095" s="1" t="s">
        <v>287</v>
      </c>
      <c r="W2095" s="1" t="s">
        <v>288</v>
      </c>
      <c r="X2095" s="1"/>
      <c r="Y2095" s="1" t="str">
        <f>"02027018026201950"</f>
        <v>02027018026201950</v>
      </c>
      <c r="Z2095" s="1" t="s">
        <v>215</v>
      </c>
      <c r="AA2095" s="1" t="s">
        <v>907</v>
      </c>
      <c r="AB2095" s="1" t="str">
        <f t="shared" ref="AB2095:AB2097" si="131">"33000167000292"</f>
        <v>33000167000292</v>
      </c>
      <c r="AC2095" s="1"/>
      <c r="AD2095" s="1" t="s">
        <v>116</v>
      </c>
      <c r="AE2095" s="1"/>
      <c r="AF2095" s="1">
        <v>-40.676667</v>
      </c>
      <c r="AG2095" s="1">
        <v>-22.701389</v>
      </c>
      <c r="AH2095" s="1" t="s">
        <v>5372</v>
      </c>
      <c r="AI2095" s="1"/>
      <c r="AJ2095" s="1" t="s">
        <v>172</v>
      </c>
      <c r="AK2095" s="1"/>
      <c r="AL2095" s="1" t="s">
        <v>118</v>
      </c>
      <c r="AM2095" s="1" t="s">
        <v>65</v>
      </c>
      <c r="AN2095" s="1" t="s">
        <v>5373</v>
      </c>
      <c r="AO2095" s="2">
        <v>43980.0</v>
      </c>
      <c r="AP2095" s="2">
        <v>43980.4449074074</v>
      </c>
      <c r="AQ2095" s="1" t="s">
        <v>80</v>
      </c>
      <c r="AR2095" s="1" t="s">
        <v>462</v>
      </c>
      <c r="AS2095" s="1"/>
      <c r="AT2095" s="2">
        <v>44269.931099537</v>
      </c>
    </row>
    <row r="2096" ht="13.5" customHeight="1">
      <c r="A2096" s="1">
        <v>2036945.0</v>
      </c>
      <c r="B2096" s="1" t="s">
        <v>67</v>
      </c>
      <c r="C2096" s="1" t="s">
        <v>68</v>
      </c>
      <c r="D2096" s="1" t="s">
        <v>46</v>
      </c>
      <c r="E2096" s="1" t="s">
        <v>8617</v>
      </c>
      <c r="F2096" s="1"/>
      <c r="G2096" s="1" t="s">
        <v>70</v>
      </c>
      <c r="H2096" s="1" t="s">
        <v>50</v>
      </c>
      <c r="I2096" s="1">
        <v>300000.0</v>
      </c>
      <c r="J2096" s="1"/>
      <c r="K2096" s="1"/>
      <c r="L2096" s="1" t="s">
        <v>172</v>
      </c>
      <c r="M2096" s="1" t="s">
        <v>8618</v>
      </c>
      <c r="N2096" s="1" t="s">
        <v>72</v>
      </c>
      <c r="O2096" s="1" t="s">
        <v>213</v>
      </c>
      <c r="P2096" s="2">
        <v>43747.625</v>
      </c>
      <c r="Q2096" s="1" t="s">
        <v>74</v>
      </c>
      <c r="R2096" s="3">
        <v>43788.0</v>
      </c>
      <c r="S2096" s="1"/>
      <c r="T2096" s="1">
        <v>3304557.0</v>
      </c>
      <c r="U2096" s="1" t="s">
        <v>286</v>
      </c>
      <c r="V2096" s="1" t="s">
        <v>287</v>
      </c>
      <c r="W2096" s="1" t="s">
        <v>288</v>
      </c>
      <c r="X2096" s="1"/>
      <c r="Y2096" s="1"/>
      <c r="Z2096" s="1" t="s">
        <v>215</v>
      </c>
      <c r="AA2096" s="1" t="s">
        <v>907</v>
      </c>
      <c r="AB2096" s="1" t="str">
        <f t="shared" si="131"/>
        <v>33000167000292</v>
      </c>
      <c r="AC2096" s="1"/>
      <c r="AD2096" s="1"/>
      <c r="AE2096" s="1"/>
      <c r="AF2096" s="1">
        <v>-40.676666</v>
      </c>
      <c r="AG2096" s="1">
        <v>-22.701389</v>
      </c>
      <c r="AH2096" s="1" t="s">
        <v>5372</v>
      </c>
      <c r="AI2096" s="1"/>
      <c r="AJ2096" s="1" t="s">
        <v>172</v>
      </c>
      <c r="AK2096" s="1"/>
      <c r="AL2096" s="1" t="s">
        <v>79</v>
      </c>
      <c r="AM2096" s="1" t="s">
        <v>65</v>
      </c>
      <c r="AN2096" s="1" t="s">
        <v>5373</v>
      </c>
      <c r="AO2096" s="2">
        <v>43980.0</v>
      </c>
      <c r="AP2096" s="2">
        <v>43980.5082523148</v>
      </c>
      <c r="AQ2096" s="1" t="s">
        <v>80</v>
      </c>
      <c r="AR2096" s="1" t="s">
        <v>462</v>
      </c>
      <c r="AS2096" s="1"/>
      <c r="AT2096" s="2">
        <v>44269.931099537</v>
      </c>
    </row>
    <row r="2097" ht="13.5" customHeight="1">
      <c r="A2097" s="1">
        <v>2038642.0</v>
      </c>
      <c r="B2097" s="1" t="s">
        <v>67</v>
      </c>
      <c r="C2097" s="1" t="s">
        <v>68</v>
      </c>
      <c r="D2097" s="1" t="s">
        <v>46</v>
      </c>
      <c r="E2097" s="1" t="s">
        <v>8619</v>
      </c>
      <c r="F2097" s="1"/>
      <c r="G2097" s="1" t="s">
        <v>70</v>
      </c>
      <c r="H2097" s="1" t="s">
        <v>50</v>
      </c>
      <c r="I2097" s="1">
        <v>100000.0</v>
      </c>
      <c r="J2097" s="1"/>
      <c r="K2097" s="1"/>
      <c r="L2097" s="1" t="s">
        <v>172</v>
      </c>
      <c r="M2097" s="1" t="s">
        <v>8620</v>
      </c>
      <c r="N2097" s="1" t="s">
        <v>72</v>
      </c>
      <c r="O2097" s="1" t="s">
        <v>213</v>
      </c>
      <c r="P2097" s="2">
        <v>43747.625</v>
      </c>
      <c r="Q2097" s="1" t="s">
        <v>74</v>
      </c>
      <c r="R2097" s="3">
        <v>43787.0</v>
      </c>
      <c r="S2097" s="1"/>
      <c r="T2097" s="1">
        <v>3304557.0</v>
      </c>
      <c r="U2097" s="1" t="s">
        <v>286</v>
      </c>
      <c r="V2097" s="1" t="s">
        <v>287</v>
      </c>
      <c r="W2097" s="1" t="s">
        <v>288</v>
      </c>
      <c r="X2097" s="1"/>
      <c r="Y2097" s="1"/>
      <c r="Z2097" s="1" t="s">
        <v>215</v>
      </c>
      <c r="AA2097" s="1" t="s">
        <v>907</v>
      </c>
      <c r="AB2097" s="1" t="str">
        <f t="shared" si="131"/>
        <v>33000167000292</v>
      </c>
      <c r="AC2097" s="1"/>
      <c r="AD2097" s="1"/>
      <c r="AE2097" s="1"/>
      <c r="AF2097" s="1">
        <v>-40.676666</v>
      </c>
      <c r="AG2097" s="1">
        <v>-22.701389</v>
      </c>
      <c r="AH2097" s="1" t="s">
        <v>5372</v>
      </c>
      <c r="AI2097" s="1"/>
      <c r="AJ2097" s="1" t="s">
        <v>172</v>
      </c>
      <c r="AK2097" s="1"/>
      <c r="AL2097" s="1" t="s">
        <v>79</v>
      </c>
      <c r="AM2097" s="1" t="s">
        <v>65</v>
      </c>
      <c r="AN2097" s="1" t="s">
        <v>5373</v>
      </c>
      <c r="AO2097" s="2">
        <v>44042.0</v>
      </c>
      <c r="AP2097" s="2">
        <v>44042.4281944445</v>
      </c>
      <c r="AQ2097" s="1" t="s">
        <v>80</v>
      </c>
      <c r="AR2097" s="1" t="s">
        <v>462</v>
      </c>
      <c r="AS2097" s="1"/>
      <c r="AT2097" s="2">
        <v>44269.931099537</v>
      </c>
    </row>
    <row r="2098" ht="13.5" customHeight="1">
      <c r="A2098" s="1"/>
      <c r="B2098" s="1" t="s">
        <v>46</v>
      </c>
      <c r="C2098" s="1" t="s">
        <v>47</v>
      </c>
      <c r="D2098" s="1"/>
      <c r="E2098" s="1" t="s">
        <v>8621</v>
      </c>
      <c r="F2098" s="1"/>
      <c r="G2098" s="1" t="s">
        <v>49</v>
      </c>
      <c r="H2098" s="1" t="s">
        <v>93</v>
      </c>
      <c r="I2098" s="1">
        <v>870000.0</v>
      </c>
      <c r="J2098" s="1"/>
      <c r="K2098" s="1"/>
      <c r="L2098" s="1"/>
      <c r="M2098" s="1" t="s">
        <v>8622</v>
      </c>
      <c r="N2098" s="1" t="s">
        <v>142</v>
      </c>
      <c r="O2098" s="1" t="s">
        <v>143</v>
      </c>
      <c r="P2098" s="2">
        <v>43747.6156481482</v>
      </c>
      <c r="Q2098" s="1" t="s">
        <v>373</v>
      </c>
      <c r="R2098" s="1"/>
      <c r="S2098" s="1"/>
      <c r="T2098" s="1">
        <v>4117602.0</v>
      </c>
      <c r="U2098" s="1" t="s">
        <v>2155</v>
      </c>
      <c r="V2098" s="1" t="s">
        <v>176</v>
      </c>
      <c r="W2098" s="1" t="s">
        <v>59</v>
      </c>
      <c r="X2098" s="1"/>
      <c r="Y2098" s="1"/>
      <c r="Z2098" s="1" t="s">
        <v>147</v>
      </c>
      <c r="AA2098" s="1" t="s">
        <v>8623</v>
      </c>
      <c r="AB2098" s="1" t="str">
        <f>"***639559**"</f>
        <v>***639559**</v>
      </c>
      <c r="AC2098" s="1"/>
      <c r="AD2098" s="1" t="s">
        <v>149</v>
      </c>
      <c r="AE2098" s="1"/>
      <c r="AF2098" s="1">
        <v>-51.539722</v>
      </c>
      <c r="AG2098" s="1">
        <v>-26.572224</v>
      </c>
      <c r="AH2098" s="1" t="s">
        <v>8624</v>
      </c>
      <c r="AI2098" s="1"/>
      <c r="AJ2098" s="1" t="s">
        <v>358</v>
      </c>
      <c r="AK2098" s="1"/>
      <c r="AL2098" s="1"/>
      <c r="AM2098" s="1" t="s">
        <v>65</v>
      </c>
      <c r="AN2098" s="1" t="s">
        <v>8176</v>
      </c>
      <c r="AO2098" s="1"/>
      <c r="AP2098" s="2">
        <v>44063.7029282407</v>
      </c>
      <c r="AQ2098" s="1"/>
      <c r="AR2098" s="1" t="s">
        <v>433</v>
      </c>
      <c r="AS2098" s="1" t="s">
        <v>8625</v>
      </c>
      <c r="AT2098" s="2">
        <v>44269.931099537</v>
      </c>
    </row>
    <row r="2099" ht="13.5" customHeight="1">
      <c r="A2099" s="1">
        <v>2034495.0</v>
      </c>
      <c r="B2099" s="1" t="s">
        <v>67</v>
      </c>
      <c r="C2099" s="1" t="s">
        <v>68</v>
      </c>
      <c r="D2099" s="1" t="s">
        <v>46</v>
      </c>
      <c r="E2099" s="1" t="s">
        <v>8626</v>
      </c>
      <c r="F2099" s="1"/>
      <c r="G2099" s="1" t="s">
        <v>70</v>
      </c>
      <c r="H2099" s="1" t="s">
        <v>93</v>
      </c>
      <c r="I2099" s="1">
        <v>6600.0</v>
      </c>
      <c r="J2099" s="1"/>
      <c r="K2099" s="1"/>
      <c r="L2099" s="1" t="s">
        <v>106</v>
      </c>
      <c r="M2099" s="1" t="s">
        <v>8627</v>
      </c>
      <c r="N2099" s="1" t="s">
        <v>142</v>
      </c>
      <c r="O2099" s="1" t="s">
        <v>143</v>
      </c>
      <c r="P2099" s="2">
        <v>43747.5826388889</v>
      </c>
      <c r="Q2099" s="1" t="s">
        <v>373</v>
      </c>
      <c r="R2099" s="1"/>
      <c r="S2099" s="1"/>
      <c r="T2099" s="1">
        <v>2304400.0</v>
      </c>
      <c r="U2099" s="1" t="s">
        <v>111</v>
      </c>
      <c r="V2099" s="1" t="s">
        <v>112</v>
      </c>
      <c r="W2099" s="1" t="s">
        <v>113</v>
      </c>
      <c r="X2099" s="1"/>
      <c r="Y2099" s="1" t="str">
        <f>"02007000599202007"</f>
        <v>02007000599202007</v>
      </c>
      <c r="Z2099" s="1" t="s">
        <v>1178</v>
      </c>
      <c r="AA2099" s="1" t="s">
        <v>8628</v>
      </c>
      <c r="AB2099" s="1" t="str">
        <f>"***864604**"</f>
        <v>***864604**</v>
      </c>
      <c r="AC2099" s="1"/>
      <c r="AD2099" s="1" t="s">
        <v>116</v>
      </c>
      <c r="AE2099" s="1"/>
      <c r="AF2099" s="1">
        <v>0.0</v>
      </c>
      <c r="AG2099" s="1">
        <v>0.0</v>
      </c>
      <c r="AH2099" s="1" t="s">
        <v>8629</v>
      </c>
      <c r="AI2099" s="1"/>
      <c r="AJ2099" s="1"/>
      <c r="AK2099" s="1"/>
      <c r="AL2099" s="1" t="s">
        <v>118</v>
      </c>
      <c r="AM2099" s="1"/>
      <c r="AN2099" s="1"/>
      <c r="AO2099" s="2">
        <v>43879.4517592593</v>
      </c>
      <c r="AP2099" s="2">
        <v>43879.4517592593</v>
      </c>
      <c r="AQ2099" s="1" t="s">
        <v>80</v>
      </c>
      <c r="AR2099" s="1" t="s">
        <v>8630</v>
      </c>
      <c r="AS2099" s="1"/>
      <c r="AT2099" s="2">
        <v>44269.931099537</v>
      </c>
    </row>
    <row r="2100" ht="13.5" customHeight="1">
      <c r="A2100" s="1">
        <v>2034489.0</v>
      </c>
      <c r="B2100" s="1" t="s">
        <v>67</v>
      </c>
      <c r="C2100" s="1" t="s">
        <v>68</v>
      </c>
      <c r="D2100" s="1" t="s">
        <v>46</v>
      </c>
      <c r="E2100" s="1" t="s">
        <v>8631</v>
      </c>
      <c r="F2100" s="1"/>
      <c r="G2100" s="1" t="s">
        <v>70</v>
      </c>
      <c r="H2100" s="1" t="s">
        <v>93</v>
      </c>
      <c r="I2100" s="1">
        <v>6900.0</v>
      </c>
      <c r="J2100" s="1"/>
      <c r="K2100" s="1"/>
      <c r="L2100" s="1" t="s">
        <v>106</v>
      </c>
      <c r="M2100" s="1" t="s">
        <v>8632</v>
      </c>
      <c r="N2100" s="1" t="s">
        <v>142</v>
      </c>
      <c r="O2100" s="1" t="s">
        <v>143</v>
      </c>
      <c r="P2100" s="2">
        <v>43747.5736111111</v>
      </c>
      <c r="Q2100" s="1" t="s">
        <v>373</v>
      </c>
      <c r="R2100" s="1"/>
      <c r="S2100" s="1"/>
      <c r="T2100" s="1">
        <v>2303709.0</v>
      </c>
      <c r="U2100" s="1" t="s">
        <v>3994</v>
      </c>
      <c r="V2100" s="1" t="s">
        <v>112</v>
      </c>
      <c r="W2100" s="1" t="s">
        <v>113</v>
      </c>
      <c r="X2100" s="1"/>
      <c r="Y2100" s="1" t="str">
        <f>"02007000600202095"</f>
        <v>02007000600202095</v>
      </c>
      <c r="Z2100" s="1" t="s">
        <v>8633</v>
      </c>
      <c r="AA2100" s="1" t="s">
        <v>8634</v>
      </c>
      <c r="AB2100" s="1" t="str">
        <f>"***993024**"</f>
        <v>***993024**</v>
      </c>
      <c r="AC2100" s="1"/>
      <c r="AD2100" s="1" t="s">
        <v>116</v>
      </c>
      <c r="AE2100" s="1"/>
      <c r="AF2100" s="1">
        <v>0.0</v>
      </c>
      <c r="AG2100" s="1">
        <v>0.0</v>
      </c>
      <c r="AH2100" s="1" t="s">
        <v>8629</v>
      </c>
      <c r="AI2100" s="1"/>
      <c r="AJ2100" s="1"/>
      <c r="AK2100" s="1"/>
      <c r="AL2100" s="1" t="s">
        <v>118</v>
      </c>
      <c r="AM2100" s="1"/>
      <c r="AN2100" s="1"/>
      <c r="AO2100" s="2">
        <v>43878.6669444444</v>
      </c>
      <c r="AP2100" s="2">
        <v>43878.6669560185</v>
      </c>
      <c r="AQ2100" s="1" t="s">
        <v>80</v>
      </c>
      <c r="AR2100" s="1" t="s">
        <v>8630</v>
      </c>
      <c r="AS2100" s="1"/>
      <c r="AT2100" s="2">
        <v>44269.931099537</v>
      </c>
    </row>
    <row r="2101" ht="13.5" customHeight="1">
      <c r="A2101" s="1">
        <v>2036943.0</v>
      </c>
      <c r="B2101" s="1" t="s">
        <v>67</v>
      </c>
      <c r="C2101" s="1" t="s">
        <v>68</v>
      </c>
      <c r="D2101" s="1" t="s">
        <v>46</v>
      </c>
      <c r="E2101" s="1" t="s">
        <v>8635</v>
      </c>
      <c r="F2101" s="1"/>
      <c r="G2101" s="1" t="s">
        <v>70</v>
      </c>
      <c r="H2101" s="1" t="s">
        <v>50</v>
      </c>
      <c r="I2101" s="1">
        <v>300000.0</v>
      </c>
      <c r="J2101" s="1"/>
      <c r="K2101" s="1"/>
      <c r="L2101" s="1" t="s">
        <v>65</v>
      </c>
      <c r="M2101" s="1" t="s">
        <v>8636</v>
      </c>
      <c r="N2101" s="1" t="s">
        <v>72</v>
      </c>
      <c r="O2101" s="1" t="s">
        <v>213</v>
      </c>
      <c r="P2101" s="2">
        <v>43747.5</v>
      </c>
      <c r="Q2101" s="1" t="s">
        <v>74</v>
      </c>
      <c r="R2101" s="3">
        <v>43788.0</v>
      </c>
      <c r="S2101" s="1"/>
      <c r="T2101" s="1">
        <v>3304557.0</v>
      </c>
      <c r="U2101" s="1" t="s">
        <v>286</v>
      </c>
      <c r="V2101" s="1" t="s">
        <v>287</v>
      </c>
      <c r="W2101" s="1" t="s">
        <v>288</v>
      </c>
      <c r="X2101" s="1"/>
      <c r="Y2101" s="1" t="str">
        <f>"02027018011201991"</f>
        <v>02027018011201991</v>
      </c>
      <c r="Z2101" s="1" t="s">
        <v>215</v>
      </c>
      <c r="AA2101" s="1" t="s">
        <v>907</v>
      </c>
      <c r="AB2101" s="1" t="str">
        <f t="shared" ref="AB2101:AB2102" si="132">"33000167000292"</f>
        <v>33000167000292</v>
      </c>
      <c r="AC2101" s="1"/>
      <c r="AD2101" s="1" t="s">
        <v>116</v>
      </c>
      <c r="AE2101" s="1"/>
      <c r="AF2101" s="1">
        <v>-40.676667</v>
      </c>
      <c r="AG2101" s="1">
        <v>-22.701389</v>
      </c>
      <c r="AH2101" s="1" t="s">
        <v>8511</v>
      </c>
      <c r="AI2101" s="1"/>
      <c r="AJ2101" s="1" t="s">
        <v>172</v>
      </c>
      <c r="AK2101" s="1" t="s">
        <v>5377</v>
      </c>
      <c r="AL2101" s="1" t="s">
        <v>79</v>
      </c>
      <c r="AM2101" s="1" t="s">
        <v>65</v>
      </c>
      <c r="AN2101" s="1" t="s">
        <v>5373</v>
      </c>
      <c r="AO2101" s="2">
        <v>43980.0</v>
      </c>
      <c r="AP2101" s="2">
        <v>43980.4838194444</v>
      </c>
      <c r="AQ2101" s="1" t="s">
        <v>80</v>
      </c>
      <c r="AR2101" s="1" t="s">
        <v>4024</v>
      </c>
      <c r="AS2101" s="1"/>
      <c r="AT2101" s="2">
        <v>44269.931099537</v>
      </c>
    </row>
    <row r="2102" ht="13.5" customHeight="1">
      <c r="A2102" s="1">
        <v>2037894.0</v>
      </c>
      <c r="B2102" s="1" t="s">
        <v>67</v>
      </c>
      <c r="C2102" s="1" t="s">
        <v>68</v>
      </c>
      <c r="D2102" s="1" t="s">
        <v>46</v>
      </c>
      <c r="E2102" s="1" t="s">
        <v>8637</v>
      </c>
      <c r="F2102" s="1"/>
      <c r="G2102" s="1" t="s">
        <v>70</v>
      </c>
      <c r="H2102" s="1" t="s">
        <v>50</v>
      </c>
      <c r="I2102" s="1">
        <v>100000.0</v>
      </c>
      <c r="J2102" s="1"/>
      <c r="K2102" s="1"/>
      <c r="L2102" s="1" t="s">
        <v>172</v>
      </c>
      <c r="M2102" s="1" t="s">
        <v>8638</v>
      </c>
      <c r="N2102" s="1" t="s">
        <v>72</v>
      </c>
      <c r="O2102" s="1" t="s">
        <v>213</v>
      </c>
      <c r="P2102" s="2">
        <v>43747.5</v>
      </c>
      <c r="Q2102" s="1" t="s">
        <v>74</v>
      </c>
      <c r="R2102" s="3">
        <v>43787.0</v>
      </c>
      <c r="S2102" s="1"/>
      <c r="T2102" s="1">
        <v>3304557.0</v>
      </c>
      <c r="U2102" s="1" t="s">
        <v>286</v>
      </c>
      <c r="V2102" s="1" t="s">
        <v>287</v>
      </c>
      <c r="W2102" s="1" t="s">
        <v>288</v>
      </c>
      <c r="X2102" s="1"/>
      <c r="Y2102" s="1"/>
      <c r="Z2102" s="1" t="s">
        <v>215</v>
      </c>
      <c r="AA2102" s="1" t="s">
        <v>907</v>
      </c>
      <c r="AB2102" s="1" t="str">
        <f t="shared" si="132"/>
        <v>33000167000292</v>
      </c>
      <c r="AC2102" s="1"/>
      <c r="AD2102" s="1"/>
      <c r="AE2102" s="1"/>
      <c r="AF2102" s="1">
        <v>-40.676666</v>
      </c>
      <c r="AG2102" s="1">
        <v>-22.701389</v>
      </c>
      <c r="AH2102" s="1" t="s">
        <v>8511</v>
      </c>
      <c r="AI2102" s="1"/>
      <c r="AJ2102" s="1" t="s">
        <v>172</v>
      </c>
      <c r="AK2102" s="1"/>
      <c r="AL2102" s="1" t="s">
        <v>79</v>
      </c>
      <c r="AM2102" s="1" t="s">
        <v>65</v>
      </c>
      <c r="AN2102" s="1" t="s">
        <v>5373</v>
      </c>
      <c r="AO2102" s="2">
        <v>44013.0</v>
      </c>
      <c r="AP2102" s="2">
        <v>44013.7129050926</v>
      </c>
      <c r="AQ2102" s="1" t="s">
        <v>80</v>
      </c>
      <c r="AR2102" s="1" t="s">
        <v>462</v>
      </c>
      <c r="AS2102" s="1"/>
      <c r="AT2102" s="2">
        <v>44269.931099537</v>
      </c>
    </row>
    <row r="2103" ht="13.5" customHeight="1">
      <c r="A2103" s="1">
        <v>2040209.0</v>
      </c>
      <c r="B2103" s="1" t="s">
        <v>67</v>
      </c>
      <c r="C2103" s="1" t="s">
        <v>68</v>
      </c>
      <c r="D2103" s="1" t="s">
        <v>46</v>
      </c>
      <c r="E2103" s="1" t="s">
        <v>8639</v>
      </c>
      <c r="F2103" s="1"/>
      <c r="G2103" s="1" t="s">
        <v>70</v>
      </c>
      <c r="H2103" s="1" t="s">
        <v>93</v>
      </c>
      <c r="I2103" s="1">
        <v>13200.0</v>
      </c>
      <c r="J2103" s="1"/>
      <c r="K2103" s="1"/>
      <c r="L2103" s="1" t="s">
        <v>167</v>
      </c>
      <c r="M2103" s="1" t="s">
        <v>8640</v>
      </c>
      <c r="N2103" s="1" t="s">
        <v>142</v>
      </c>
      <c r="O2103" s="1" t="s">
        <v>143</v>
      </c>
      <c r="P2103" s="2">
        <v>43747.5</v>
      </c>
      <c r="Q2103" s="1" t="s">
        <v>74</v>
      </c>
      <c r="R2103" s="1"/>
      <c r="S2103" s="1"/>
      <c r="T2103" s="1">
        <v>5107941.0</v>
      </c>
      <c r="U2103" s="1" t="s">
        <v>8641</v>
      </c>
      <c r="V2103" s="1" t="s">
        <v>164</v>
      </c>
      <c r="W2103" s="1" t="s">
        <v>177</v>
      </c>
      <c r="X2103" s="1"/>
      <c r="Y2103" s="1" t="str">
        <f>"02013006554201915"</f>
        <v>02013006554201915</v>
      </c>
      <c r="Z2103" s="1" t="s">
        <v>147</v>
      </c>
      <c r="AA2103" s="1" t="s">
        <v>8642</v>
      </c>
      <c r="AB2103" s="1" t="str">
        <f>"***503101**"</f>
        <v>***503101**</v>
      </c>
      <c r="AC2103" s="1"/>
      <c r="AD2103" s="1"/>
      <c r="AE2103" s="1"/>
      <c r="AF2103" s="1">
        <v>-56.059998</v>
      </c>
      <c r="AG2103" s="1">
        <v>-15.558889</v>
      </c>
      <c r="AH2103" s="1" t="s">
        <v>8643</v>
      </c>
      <c r="AI2103" s="1"/>
      <c r="AJ2103" s="1" t="s">
        <v>167</v>
      </c>
      <c r="AK2103" s="1"/>
      <c r="AL2103" s="1" t="s">
        <v>79</v>
      </c>
      <c r="AM2103" s="1" t="s">
        <v>65</v>
      </c>
      <c r="AN2103" s="1" t="s">
        <v>132</v>
      </c>
      <c r="AO2103" s="2">
        <v>44117.0</v>
      </c>
      <c r="AP2103" s="2">
        <v>44117.6418518519</v>
      </c>
      <c r="AQ2103" s="1" t="s">
        <v>80</v>
      </c>
      <c r="AR2103" s="1" t="s">
        <v>462</v>
      </c>
      <c r="AS2103" s="1"/>
      <c r="AT2103" s="2">
        <v>44269.931099537</v>
      </c>
    </row>
    <row r="2104" ht="13.5" customHeight="1">
      <c r="A2104" s="1">
        <v>2040482.0</v>
      </c>
      <c r="B2104" s="1" t="s">
        <v>67</v>
      </c>
      <c r="C2104" s="1" t="s">
        <v>68</v>
      </c>
      <c r="D2104" s="1" t="s">
        <v>46</v>
      </c>
      <c r="E2104" s="1" t="s">
        <v>8644</v>
      </c>
      <c r="F2104" s="1"/>
      <c r="G2104" s="1" t="s">
        <v>70</v>
      </c>
      <c r="H2104" s="1" t="s">
        <v>50</v>
      </c>
      <c r="I2104" s="1">
        <v>100000.0</v>
      </c>
      <c r="J2104" s="1"/>
      <c r="K2104" s="1"/>
      <c r="L2104" s="1" t="s">
        <v>172</v>
      </c>
      <c r="M2104" s="1" t="s">
        <v>8645</v>
      </c>
      <c r="N2104" s="1" t="s">
        <v>72</v>
      </c>
      <c r="O2104" s="1" t="s">
        <v>213</v>
      </c>
      <c r="P2104" s="2">
        <v>43747.5</v>
      </c>
      <c r="Q2104" s="1" t="s">
        <v>74</v>
      </c>
      <c r="R2104" s="3">
        <v>43787.0</v>
      </c>
      <c r="S2104" s="1"/>
      <c r="T2104" s="1">
        <v>3304557.0</v>
      </c>
      <c r="U2104" s="1" t="s">
        <v>286</v>
      </c>
      <c r="V2104" s="1" t="s">
        <v>287</v>
      </c>
      <c r="W2104" s="1" t="s">
        <v>288</v>
      </c>
      <c r="X2104" s="1"/>
      <c r="Y2104" s="1"/>
      <c r="Z2104" s="1" t="s">
        <v>215</v>
      </c>
      <c r="AA2104" s="1" t="s">
        <v>907</v>
      </c>
      <c r="AB2104" s="1" t="str">
        <f t="shared" ref="AB2104:AB2105" si="133">"33000167000292"</f>
        <v>33000167000292</v>
      </c>
      <c r="AC2104" s="1"/>
      <c r="AD2104" s="1"/>
      <c r="AE2104" s="1"/>
      <c r="AF2104" s="1">
        <v>-40.676666</v>
      </c>
      <c r="AG2104" s="1">
        <v>-22.701389</v>
      </c>
      <c r="AH2104" s="1" t="s">
        <v>8511</v>
      </c>
      <c r="AI2104" s="1"/>
      <c r="AJ2104" s="1" t="s">
        <v>172</v>
      </c>
      <c r="AK2104" s="1"/>
      <c r="AL2104" s="1" t="s">
        <v>79</v>
      </c>
      <c r="AM2104" s="1" t="s">
        <v>65</v>
      </c>
      <c r="AN2104" s="1" t="s">
        <v>5373</v>
      </c>
      <c r="AO2104" s="2">
        <v>44127.0</v>
      </c>
      <c r="AP2104" s="2">
        <v>44127.6550694445</v>
      </c>
      <c r="AQ2104" s="1" t="s">
        <v>80</v>
      </c>
      <c r="AR2104" s="1" t="s">
        <v>8646</v>
      </c>
      <c r="AS2104" s="1"/>
      <c r="AT2104" s="2">
        <v>44269.931099537</v>
      </c>
    </row>
    <row r="2105" ht="13.5" customHeight="1">
      <c r="A2105" s="1">
        <v>2035594.0</v>
      </c>
      <c r="B2105" s="1" t="s">
        <v>67</v>
      </c>
      <c r="C2105" s="1" t="s">
        <v>68</v>
      </c>
      <c r="D2105" s="1" t="s">
        <v>46</v>
      </c>
      <c r="E2105" s="1" t="s">
        <v>8647</v>
      </c>
      <c r="F2105" s="1"/>
      <c r="G2105" s="1" t="s">
        <v>70</v>
      </c>
      <c r="H2105" s="1" t="s">
        <v>50</v>
      </c>
      <c r="I2105" s="1">
        <v>200000.0</v>
      </c>
      <c r="J2105" s="1"/>
      <c r="K2105" s="1"/>
      <c r="L2105" s="1" t="s">
        <v>172</v>
      </c>
      <c r="M2105" s="1" t="s">
        <v>8648</v>
      </c>
      <c r="N2105" s="1" t="s">
        <v>72</v>
      </c>
      <c r="O2105" s="1" t="s">
        <v>213</v>
      </c>
      <c r="P2105" s="2">
        <v>43747.4583333333</v>
      </c>
      <c r="Q2105" s="1" t="s">
        <v>74</v>
      </c>
      <c r="R2105" s="3">
        <v>43787.0</v>
      </c>
      <c r="S2105" s="1"/>
      <c r="T2105" s="1">
        <v>3304557.0</v>
      </c>
      <c r="U2105" s="1" t="s">
        <v>286</v>
      </c>
      <c r="V2105" s="1" t="s">
        <v>287</v>
      </c>
      <c r="W2105" s="1" t="s">
        <v>288</v>
      </c>
      <c r="X2105" s="1"/>
      <c r="Y2105" s="1"/>
      <c r="Z2105" s="1" t="s">
        <v>215</v>
      </c>
      <c r="AA2105" s="1" t="s">
        <v>907</v>
      </c>
      <c r="AB2105" s="1" t="str">
        <f t="shared" si="133"/>
        <v>33000167000292</v>
      </c>
      <c r="AC2105" s="1"/>
      <c r="AD2105" s="1"/>
      <c r="AE2105" s="1"/>
      <c r="AF2105" s="1">
        <v>-40.676666</v>
      </c>
      <c r="AG2105" s="1">
        <v>-22.701113</v>
      </c>
      <c r="AH2105" s="1" t="s">
        <v>8552</v>
      </c>
      <c r="AI2105" s="1"/>
      <c r="AJ2105" s="1" t="s">
        <v>172</v>
      </c>
      <c r="AK2105" s="1"/>
      <c r="AL2105" s="1" t="s">
        <v>79</v>
      </c>
      <c r="AM2105" s="1" t="s">
        <v>65</v>
      </c>
      <c r="AN2105" s="1" t="s">
        <v>5373</v>
      </c>
      <c r="AO2105" s="2">
        <v>43909.0</v>
      </c>
      <c r="AP2105" s="2">
        <v>43909.6071180556</v>
      </c>
      <c r="AQ2105" s="1" t="s">
        <v>80</v>
      </c>
      <c r="AR2105" s="1" t="s">
        <v>462</v>
      </c>
      <c r="AS2105" s="1"/>
      <c r="AT2105" s="2">
        <v>44269.931099537</v>
      </c>
    </row>
    <row r="2106" ht="13.5" customHeight="1">
      <c r="A2106" s="1">
        <v>2037050.0</v>
      </c>
      <c r="B2106" s="1" t="s">
        <v>67</v>
      </c>
      <c r="C2106" s="1" t="s">
        <v>68</v>
      </c>
      <c r="D2106" s="1" t="s">
        <v>46</v>
      </c>
      <c r="E2106" s="1" t="s">
        <v>8649</v>
      </c>
      <c r="F2106" s="1"/>
      <c r="G2106" s="1" t="s">
        <v>70</v>
      </c>
      <c r="H2106" s="1" t="s">
        <v>50</v>
      </c>
      <c r="I2106" s="1">
        <v>750700.0</v>
      </c>
      <c r="J2106" s="1"/>
      <c r="K2106" s="1"/>
      <c r="L2106" s="1" t="s">
        <v>358</v>
      </c>
      <c r="M2106" s="1" t="s">
        <v>8650</v>
      </c>
      <c r="N2106" s="1" t="s">
        <v>142</v>
      </c>
      <c r="O2106" s="1" t="s">
        <v>143</v>
      </c>
      <c r="P2106" s="2">
        <v>43747.4583333333</v>
      </c>
      <c r="Q2106" s="1" t="s">
        <v>373</v>
      </c>
      <c r="R2106" s="3">
        <v>43747.0</v>
      </c>
      <c r="S2106" s="1"/>
      <c r="T2106" s="1">
        <v>4117602.0</v>
      </c>
      <c r="U2106" s="1" t="s">
        <v>2155</v>
      </c>
      <c r="V2106" s="1" t="s">
        <v>176</v>
      </c>
      <c r="W2106" s="1" t="s">
        <v>59</v>
      </c>
      <c r="X2106" s="1"/>
      <c r="Y2106" s="1"/>
      <c r="Z2106" s="1" t="s">
        <v>147</v>
      </c>
      <c r="AA2106" s="1" t="s">
        <v>8651</v>
      </c>
      <c r="AB2106" s="1" t="str">
        <f>"***582489**"</f>
        <v>***582489**</v>
      </c>
      <c r="AC2106" s="1"/>
      <c r="AD2106" s="1"/>
      <c r="AE2106" s="1"/>
      <c r="AF2106" s="1">
        <v>-51.634445</v>
      </c>
      <c r="AG2106" s="1">
        <v>-26.564165</v>
      </c>
      <c r="AH2106" s="1" t="s">
        <v>8652</v>
      </c>
      <c r="AI2106" s="1"/>
      <c r="AJ2106" s="1" t="s">
        <v>358</v>
      </c>
      <c r="AK2106" s="1"/>
      <c r="AL2106" s="1" t="s">
        <v>79</v>
      </c>
      <c r="AM2106" s="1" t="s">
        <v>65</v>
      </c>
      <c r="AN2106" s="1" t="s">
        <v>8176</v>
      </c>
      <c r="AO2106" s="2">
        <v>43983.0</v>
      </c>
      <c r="AP2106" s="2">
        <v>43983.6597685185</v>
      </c>
      <c r="AQ2106" s="1" t="s">
        <v>80</v>
      </c>
      <c r="AR2106" s="1" t="s">
        <v>8653</v>
      </c>
      <c r="AS2106" s="1"/>
      <c r="AT2106" s="2">
        <v>44269.931099537</v>
      </c>
    </row>
    <row r="2107" ht="13.5" customHeight="1">
      <c r="A2107" s="1">
        <v>2040006.0</v>
      </c>
      <c r="B2107" s="1" t="s">
        <v>67</v>
      </c>
      <c r="C2107" s="1" t="s">
        <v>68</v>
      </c>
      <c r="D2107" s="1" t="s">
        <v>46</v>
      </c>
      <c r="E2107" s="1" t="s">
        <v>8654</v>
      </c>
      <c r="F2107" s="1"/>
      <c r="G2107" s="1" t="s">
        <v>70</v>
      </c>
      <c r="H2107" s="1" t="s">
        <v>50</v>
      </c>
      <c r="I2107" s="1">
        <v>200000.0</v>
      </c>
      <c r="J2107" s="1"/>
      <c r="K2107" s="1"/>
      <c r="L2107" s="1" t="s">
        <v>65</v>
      </c>
      <c r="M2107" s="1" t="s">
        <v>8655</v>
      </c>
      <c r="N2107" s="1" t="s">
        <v>72</v>
      </c>
      <c r="O2107" s="1" t="s">
        <v>213</v>
      </c>
      <c r="P2107" s="2">
        <v>43747.4583333333</v>
      </c>
      <c r="Q2107" s="1" t="s">
        <v>74</v>
      </c>
      <c r="R2107" s="3">
        <v>43787.0</v>
      </c>
      <c r="S2107" s="1"/>
      <c r="T2107" s="1">
        <v>3304557.0</v>
      </c>
      <c r="U2107" s="1" t="s">
        <v>286</v>
      </c>
      <c r="V2107" s="1" t="s">
        <v>287</v>
      </c>
      <c r="W2107" s="1" t="s">
        <v>288</v>
      </c>
      <c r="X2107" s="1"/>
      <c r="Y2107" s="1" t="str">
        <f>"02027018004201990"</f>
        <v>02027018004201990</v>
      </c>
      <c r="Z2107" s="1" t="s">
        <v>215</v>
      </c>
      <c r="AA2107" s="1" t="s">
        <v>907</v>
      </c>
      <c r="AB2107" s="1" t="str">
        <f t="shared" ref="AB2107:AB2112" si="134">"33000167000292"</f>
        <v>33000167000292</v>
      </c>
      <c r="AC2107" s="1"/>
      <c r="AD2107" s="1" t="s">
        <v>116</v>
      </c>
      <c r="AE2107" s="1"/>
      <c r="AF2107" s="1">
        <v>-40.676667</v>
      </c>
      <c r="AG2107" s="1">
        <v>-22.701389</v>
      </c>
      <c r="AH2107" s="1" t="s">
        <v>8656</v>
      </c>
      <c r="AI2107" s="1"/>
      <c r="AJ2107" s="1" t="s">
        <v>172</v>
      </c>
      <c r="AK2107" s="1" t="s">
        <v>5377</v>
      </c>
      <c r="AL2107" s="1" t="s">
        <v>79</v>
      </c>
      <c r="AM2107" s="1" t="s">
        <v>65</v>
      </c>
      <c r="AN2107" s="1" t="s">
        <v>5373</v>
      </c>
      <c r="AO2107" s="2">
        <v>44083.0</v>
      </c>
      <c r="AP2107" s="2">
        <v>44083.6741087963</v>
      </c>
      <c r="AQ2107" s="1" t="s">
        <v>80</v>
      </c>
      <c r="AR2107" s="1" t="s">
        <v>462</v>
      </c>
      <c r="AS2107" s="1"/>
      <c r="AT2107" s="2">
        <v>44269.931099537</v>
      </c>
    </row>
    <row r="2108" ht="13.5" customHeight="1">
      <c r="A2108" s="1">
        <v>2040461.0</v>
      </c>
      <c r="B2108" s="1" t="s">
        <v>67</v>
      </c>
      <c r="C2108" s="1" t="s">
        <v>68</v>
      </c>
      <c r="D2108" s="1" t="s">
        <v>46</v>
      </c>
      <c r="E2108" s="1" t="s">
        <v>8657</v>
      </c>
      <c r="F2108" s="1"/>
      <c r="G2108" s="1" t="s">
        <v>70</v>
      </c>
      <c r="H2108" s="1" t="s">
        <v>50</v>
      </c>
      <c r="I2108" s="1">
        <v>400000.0</v>
      </c>
      <c r="J2108" s="1"/>
      <c r="K2108" s="1"/>
      <c r="L2108" s="1" t="s">
        <v>172</v>
      </c>
      <c r="M2108" s="1" t="s">
        <v>8658</v>
      </c>
      <c r="N2108" s="1" t="s">
        <v>72</v>
      </c>
      <c r="O2108" s="1" t="s">
        <v>213</v>
      </c>
      <c r="P2108" s="2">
        <v>43747.4583333333</v>
      </c>
      <c r="Q2108" s="1" t="s">
        <v>74</v>
      </c>
      <c r="R2108" s="3">
        <v>43787.0</v>
      </c>
      <c r="S2108" s="1"/>
      <c r="T2108" s="1">
        <v>3304557.0</v>
      </c>
      <c r="U2108" s="1" t="s">
        <v>286</v>
      </c>
      <c r="V2108" s="1" t="s">
        <v>287</v>
      </c>
      <c r="W2108" s="1" t="s">
        <v>288</v>
      </c>
      <c r="X2108" s="1"/>
      <c r="Y2108" s="1"/>
      <c r="Z2108" s="1" t="s">
        <v>215</v>
      </c>
      <c r="AA2108" s="1" t="s">
        <v>907</v>
      </c>
      <c r="AB2108" s="1" t="str">
        <f t="shared" si="134"/>
        <v>33000167000292</v>
      </c>
      <c r="AC2108" s="1"/>
      <c r="AD2108" s="1"/>
      <c r="AE2108" s="1"/>
      <c r="AF2108" s="1">
        <v>-40.676666</v>
      </c>
      <c r="AG2108" s="1">
        <v>-22.701389</v>
      </c>
      <c r="AH2108" s="1" t="s">
        <v>8552</v>
      </c>
      <c r="AI2108" s="1"/>
      <c r="AJ2108" s="1" t="s">
        <v>172</v>
      </c>
      <c r="AK2108" s="1"/>
      <c r="AL2108" s="1" t="s">
        <v>79</v>
      </c>
      <c r="AM2108" s="1" t="s">
        <v>65</v>
      </c>
      <c r="AN2108" s="1" t="s">
        <v>5373</v>
      </c>
      <c r="AO2108" s="2">
        <v>44127.0</v>
      </c>
      <c r="AP2108" s="2">
        <v>44127.3875694444</v>
      </c>
      <c r="AQ2108" s="1" t="s">
        <v>80</v>
      </c>
      <c r="AR2108" s="1" t="s">
        <v>462</v>
      </c>
      <c r="AS2108" s="1"/>
      <c r="AT2108" s="2">
        <v>44269.931099537</v>
      </c>
    </row>
    <row r="2109" ht="13.5" customHeight="1">
      <c r="A2109" s="1">
        <v>2040477.0</v>
      </c>
      <c r="B2109" s="1" t="s">
        <v>67</v>
      </c>
      <c r="C2109" s="1" t="s">
        <v>68</v>
      </c>
      <c r="D2109" s="1" t="s">
        <v>46</v>
      </c>
      <c r="E2109" s="1" t="s">
        <v>8659</v>
      </c>
      <c r="F2109" s="1"/>
      <c r="G2109" s="1" t="s">
        <v>70</v>
      </c>
      <c r="H2109" s="1" t="s">
        <v>50</v>
      </c>
      <c r="I2109" s="1">
        <v>200000.0</v>
      </c>
      <c r="J2109" s="1"/>
      <c r="K2109" s="1"/>
      <c r="L2109" s="1" t="s">
        <v>172</v>
      </c>
      <c r="M2109" s="1" t="s">
        <v>8660</v>
      </c>
      <c r="N2109" s="1" t="s">
        <v>72</v>
      </c>
      <c r="O2109" s="1" t="s">
        <v>213</v>
      </c>
      <c r="P2109" s="2">
        <v>43747.4583333333</v>
      </c>
      <c r="Q2109" s="1" t="s">
        <v>74</v>
      </c>
      <c r="R2109" s="3">
        <v>43787.0</v>
      </c>
      <c r="S2109" s="1"/>
      <c r="T2109" s="1">
        <v>3304557.0</v>
      </c>
      <c r="U2109" s="1" t="s">
        <v>286</v>
      </c>
      <c r="V2109" s="1" t="s">
        <v>287</v>
      </c>
      <c r="W2109" s="1" t="s">
        <v>288</v>
      </c>
      <c r="X2109" s="1"/>
      <c r="Y2109" s="1"/>
      <c r="Z2109" s="1" t="s">
        <v>215</v>
      </c>
      <c r="AA2109" s="1" t="s">
        <v>907</v>
      </c>
      <c r="AB2109" s="1" t="str">
        <f t="shared" si="134"/>
        <v>33000167000292</v>
      </c>
      <c r="AC2109" s="1"/>
      <c r="AD2109" s="1"/>
      <c r="AE2109" s="1"/>
      <c r="AF2109" s="1">
        <v>-40.676666</v>
      </c>
      <c r="AG2109" s="1">
        <v>-22.701389</v>
      </c>
      <c r="AH2109" s="1" t="s">
        <v>8656</v>
      </c>
      <c r="AI2109" s="1"/>
      <c r="AJ2109" s="1" t="s">
        <v>172</v>
      </c>
      <c r="AK2109" s="1"/>
      <c r="AL2109" s="1" t="s">
        <v>79</v>
      </c>
      <c r="AM2109" s="1" t="s">
        <v>65</v>
      </c>
      <c r="AN2109" s="1" t="s">
        <v>5373</v>
      </c>
      <c r="AO2109" s="2">
        <v>44127.0</v>
      </c>
      <c r="AP2109" s="2">
        <v>44127.6509837963</v>
      </c>
      <c r="AQ2109" s="1" t="s">
        <v>80</v>
      </c>
      <c r="AR2109" s="1" t="s">
        <v>462</v>
      </c>
      <c r="AS2109" s="1"/>
      <c r="AT2109" s="2">
        <v>44269.931099537</v>
      </c>
    </row>
    <row r="2110" ht="13.5" customHeight="1">
      <c r="A2110" s="1">
        <v>2040479.0</v>
      </c>
      <c r="B2110" s="1" t="s">
        <v>67</v>
      </c>
      <c r="C2110" s="1" t="s">
        <v>68</v>
      </c>
      <c r="D2110" s="1" t="s">
        <v>46</v>
      </c>
      <c r="E2110" s="1" t="s">
        <v>8661</v>
      </c>
      <c r="F2110" s="1"/>
      <c r="G2110" s="1" t="s">
        <v>70</v>
      </c>
      <c r="H2110" s="1" t="s">
        <v>50</v>
      </c>
      <c r="I2110" s="1">
        <v>300000.0</v>
      </c>
      <c r="J2110" s="1"/>
      <c r="K2110" s="1"/>
      <c r="L2110" s="1" t="s">
        <v>172</v>
      </c>
      <c r="M2110" s="1" t="s">
        <v>8662</v>
      </c>
      <c r="N2110" s="1" t="s">
        <v>72</v>
      </c>
      <c r="O2110" s="1" t="s">
        <v>213</v>
      </c>
      <c r="P2110" s="2">
        <v>43747.4583333333</v>
      </c>
      <c r="Q2110" s="1" t="s">
        <v>74</v>
      </c>
      <c r="R2110" s="3">
        <v>43787.0</v>
      </c>
      <c r="S2110" s="1"/>
      <c r="T2110" s="1">
        <v>3304557.0</v>
      </c>
      <c r="U2110" s="1" t="s">
        <v>286</v>
      </c>
      <c r="V2110" s="1" t="s">
        <v>287</v>
      </c>
      <c r="W2110" s="1" t="s">
        <v>288</v>
      </c>
      <c r="X2110" s="1"/>
      <c r="Y2110" s="1"/>
      <c r="Z2110" s="1" t="s">
        <v>215</v>
      </c>
      <c r="AA2110" s="1" t="s">
        <v>907</v>
      </c>
      <c r="AB2110" s="1" t="str">
        <f t="shared" si="134"/>
        <v>33000167000292</v>
      </c>
      <c r="AC2110" s="1"/>
      <c r="AD2110" s="1"/>
      <c r="AE2110" s="1"/>
      <c r="AF2110" s="1">
        <v>-40.676666</v>
      </c>
      <c r="AG2110" s="1">
        <v>-22.701389</v>
      </c>
      <c r="AH2110" s="1" t="s">
        <v>8511</v>
      </c>
      <c r="AI2110" s="1"/>
      <c r="AJ2110" s="1" t="s">
        <v>172</v>
      </c>
      <c r="AK2110" s="1"/>
      <c r="AL2110" s="1" t="s">
        <v>79</v>
      </c>
      <c r="AM2110" s="1" t="s">
        <v>65</v>
      </c>
      <c r="AN2110" s="1" t="s">
        <v>5373</v>
      </c>
      <c r="AO2110" s="2">
        <v>44127.0</v>
      </c>
      <c r="AP2110" s="2">
        <v>44127.6516435185</v>
      </c>
      <c r="AQ2110" s="1" t="s">
        <v>80</v>
      </c>
      <c r="AR2110" s="1" t="s">
        <v>462</v>
      </c>
      <c r="AS2110" s="1"/>
      <c r="AT2110" s="2">
        <v>44269.931099537</v>
      </c>
    </row>
    <row r="2111" ht="13.5" customHeight="1">
      <c r="A2111" s="1">
        <v>2040480.0</v>
      </c>
      <c r="B2111" s="1" t="s">
        <v>67</v>
      </c>
      <c r="C2111" s="1" t="s">
        <v>68</v>
      </c>
      <c r="D2111" s="1" t="s">
        <v>46</v>
      </c>
      <c r="E2111" s="1" t="s">
        <v>8663</v>
      </c>
      <c r="F2111" s="1"/>
      <c r="G2111" s="1" t="s">
        <v>70</v>
      </c>
      <c r="H2111" s="1" t="s">
        <v>50</v>
      </c>
      <c r="I2111" s="1">
        <v>100000.0</v>
      </c>
      <c r="J2111" s="1"/>
      <c r="K2111" s="1"/>
      <c r="L2111" s="1" t="s">
        <v>172</v>
      </c>
      <c r="M2111" s="1" t="s">
        <v>8664</v>
      </c>
      <c r="N2111" s="1" t="s">
        <v>72</v>
      </c>
      <c r="O2111" s="1" t="s">
        <v>213</v>
      </c>
      <c r="P2111" s="2">
        <v>43747.4583333333</v>
      </c>
      <c r="Q2111" s="1" t="s">
        <v>74</v>
      </c>
      <c r="R2111" s="3">
        <v>43787.0</v>
      </c>
      <c r="S2111" s="1"/>
      <c r="T2111" s="1">
        <v>3304557.0</v>
      </c>
      <c r="U2111" s="1" t="s">
        <v>286</v>
      </c>
      <c r="V2111" s="1" t="s">
        <v>287</v>
      </c>
      <c r="W2111" s="1" t="s">
        <v>288</v>
      </c>
      <c r="X2111" s="1"/>
      <c r="Y2111" s="1"/>
      <c r="Z2111" s="1" t="s">
        <v>215</v>
      </c>
      <c r="AA2111" s="1" t="s">
        <v>907</v>
      </c>
      <c r="AB2111" s="1" t="str">
        <f t="shared" si="134"/>
        <v>33000167000292</v>
      </c>
      <c r="AC2111" s="1"/>
      <c r="AD2111" s="1"/>
      <c r="AE2111" s="1"/>
      <c r="AF2111" s="1">
        <v>-40.676666</v>
      </c>
      <c r="AG2111" s="1">
        <v>-22.701389</v>
      </c>
      <c r="AH2111" s="1" t="s">
        <v>8656</v>
      </c>
      <c r="AI2111" s="1"/>
      <c r="AJ2111" s="1" t="s">
        <v>172</v>
      </c>
      <c r="AK2111" s="1"/>
      <c r="AL2111" s="1" t="s">
        <v>79</v>
      </c>
      <c r="AM2111" s="1" t="s">
        <v>65</v>
      </c>
      <c r="AN2111" s="1" t="s">
        <v>5373</v>
      </c>
      <c r="AO2111" s="2">
        <v>44127.0</v>
      </c>
      <c r="AP2111" s="2">
        <v>44127.6521412037</v>
      </c>
      <c r="AQ2111" s="1" t="s">
        <v>80</v>
      </c>
      <c r="AR2111" s="1" t="s">
        <v>462</v>
      </c>
      <c r="AS2111" s="1"/>
      <c r="AT2111" s="2">
        <v>44269.931099537</v>
      </c>
    </row>
    <row r="2112" ht="13.5" customHeight="1">
      <c r="A2112" s="1">
        <v>2040481.0</v>
      </c>
      <c r="B2112" s="1" t="s">
        <v>67</v>
      </c>
      <c r="C2112" s="1" t="s">
        <v>68</v>
      </c>
      <c r="D2112" s="1" t="s">
        <v>46</v>
      </c>
      <c r="E2112" s="1" t="s">
        <v>8665</v>
      </c>
      <c r="F2112" s="1"/>
      <c r="G2112" s="1" t="s">
        <v>70</v>
      </c>
      <c r="H2112" s="1" t="s">
        <v>50</v>
      </c>
      <c r="I2112" s="1">
        <v>400000.0</v>
      </c>
      <c r="J2112" s="1"/>
      <c r="K2112" s="1"/>
      <c r="L2112" s="1" t="s">
        <v>172</v>
      </c>
      <c r="M2112" s="1" t="s">
        <v>8666</v>
      </c>
      <c r="N2112" s="1" t="s">
        <v>72</v>
      </c>
      <c r="O2112" s="1" t="s">
        <v>213</v>
      </c>
      <c r="P2112" s="2">
        <v>43747.4583333333</v>
      </c>
      <c r="Q2112" s="1" t="s">
        <v>74</v>
      </c>
      <c r="R2112" s="3">
        <v>43787.0</v>
      </c>
      <c r="S2112" s="1"/>
      <c r="T2112" s="1">
        <v>3304557.0</v>
      </c>
      <c r="U2112" s="1" t="s">
        <v>286</v>
      </c>
      <c r="V2112" s="1" t="s">
        <v>287</v>
      </c>
      <c r="W2112" s="1" t="s">
        <v>288</v>
      </c>
      <c r="X2112" s="1"/>
      <c r="Y2112" s="1"/>
      <c r="Z2112" s="1" t="s">
        <v>215</v>
      </c>
      <c r="AA2112" s="1" t="s">
        <v>907</v>
      </c>
      <c r="AB2112" s="1" t="str">
        <f t="shared" si="134"/>
        <v>33000167000292</v>
      </c>
      <c r="AC2112" s="1"/>
      <c r="AD2112" s="1"/>
      <c r="AE2112" s="1"/>
      <c r="AF2112" s="1">
        <v>-40.676666</v>
      </c>
      <c r="AG2112" s="1">
        <v>-22.701389</v>
      </c>
      <c r="AH2112" s="1" t="s">
        <v>8656</v>
      </c>
      <c r="AI2112" s="1"/>
      <c r="AJ2112" s="1" t="s">
        <v>172</v>
      </c>
      <c r="AK2112" s="1"/>
      <c r="AL2112" s="1" t="s">
        <v>79</v>
      </c>
      <c r="AM2112" s="1" t="s">
        <v>65</v>
      </c>
      <c r="AN2112" s="1" t="s">
        <v>5373</v>
      </c>
      <c r="AO2112" s="2">
        <v>44127.0</v>
      </c>
      <c r="AP2112" s="2">
        <v>44127.6547800926</v>
      </c>
      <c r="AQ2112" s="1" t="s">
        <v>80</v>
      </c>
      <c r="AR2112" s="1" t="s">
        <v>462</v>
      </c>
      <c r="AS2112" s="1"/>
      <c r="AT2112" s="2">
        <v>44269.931099537</v>
      </c>
    </row>
    <row r="2113" ht="13.5" customHeight="1">
      <c r="A2113" s="1">
        <v>2035817.0</v>
      </c>
      <c r="B2113" s="1" t="s">
        <v>67</v>
      </c>
      <c r="C2113" s="1" t="s">
        <v>68</v>
      </c>
      <c r="D2113" s="1" t="s">
        <v>46</v>
      </c>
      <c r="E2113" s="1" t="s">
        <v>8667</v>
      </c>
      <c r="F2113" s="1"/>
      <c r="G2113" s="1" t="s">
        <v>70</v>
      </c>
      <c r="H2113" s="1" t="s">
        <v>93</v>
      </c>
      <c r="I2113" s="1">
        <v>1886.94</v>
      </c>
      <c r="J2113" s="1"/>
      <c r="K2113" s="1"/>
      <c r="L2113" s="1" t="s">
        <v>196</v>
      </c>
      <c r="M2113" s="1" t="s">
        <v>8668</v>
      </c>
      <c r="N2113" s="1" t="s">
        <v>142</v>
      </c>
      <c r="O2113" s="1" t="s">
        <v>143</v>
      </c>
      <c r="P2113" s="2">
        <v>43747.4166666667</v>
      </c>
      <c r="Q2113" s="1" t="s">
        <v>55</v>
      </c>
      <c r="R2113" s="3">
        <v>43747.0</v>
      </c>
      <c r="S2113" s="1"/>
      <c r="T2113" s="1">
        <v>1505502.0</v>
      </c>
      <c r="U2113" s="1" t="s">
        <v>1313</v>
      </c>
      <c r="V2113" s="1" t="s">
        <v>193</v>
      </c>
      <c r="W2113" s="1" t="s">
        <v>177</v>
      </c>
      <c r="X2113" s="1"/>
      <c r="Y2113" s="1" t="str">
        <f>"02018001905202095"</f>
        <v>02018001905202095</v>
      </c>
      <c r="Z2113" s="1" t="s">
        <v>147</v>
      </c>
      <c r="AA2113" s="1" t="s">
        <v>8593</v>
      </c>
      <c r="AB2113" s="1" t="str">
        <f>"04761870000134"</f>
        <v>04761870000134</v>
      </c>
      <c r="AC2113" s="1"/>
      <c r="AD2113" s="1"/>
      <c r="AE2113" s="1"/>
      <c r="AF2113" s="1">
        <v>-47.460835</v>
      </c>
      <c r="AG2113" s="1">
        <v>-3.002222</v>
      </c>
      <c r="AH2113" s="1" t="s">
        <v>8669</v>
      </c>
      <c r="AI2113" s="1"/>
      <c r="AJ2113" s="1" t="s">
        <v>196</v>
      </c>
      <c r="AK2113" s="1"/>
      <c r="AL2113" s="1" t="s">
        <v>79</v>
      </c>
      <c r="AM2113" s="1" t="s">
        <v>65</v>
      </c>
      <c r="AN2113" s="1" t="s">
        <v>1146</v>
      </c>
      <c r="AO2113" s="2">
        <v>43920.0</v>
      </c>
      <c r="AP2113" s="2">
        <v>43920.6167592593</v>
      </c>
      <c r="AQ2113" s="1" t="s">
        <v>80</v>
      </c>
      <c r="AR2113" s="1" t="s">
        <v>181</v>
      </c>
      <c r="AS2113" s="1"/>
      <c r="AT2113" s="2">
        <v>44269.931099537</v>
      </c>
    </row>
    <row r="2114" ht="13.5" customHeight="1">
      <c r="A2114" s="1">
        <v>2037051.0</v>
      </c>
      <c r="B2114" s="1" t="s">
        <v>67</v>
      </c>
      <c r="C2114" s="1" t="s">
        <v>68</v>
      </c>
      <c r="D2114" s="1" t="s">
        <v>46</v>
      </c>
      <c r="E2114" s="1" t="s">
        <v>8670</v>
      </c>
      <c r="F2114" s="1"/>
      <c r="G2114" s="1" t="s">
        <v>70</v>
      </c>
      <c r="H2114" s="1" t="s">
        <v>50</v>
      </c>
      <c r="I2114" s="1">
        <v>100000.0</v>
      </c>
      <c r="J2114" s="1"/>
      <c r="K2114" s="1"/>
      <c r="L2114" s="1" t="s">
        <v>172</v>
      </c>
      <c r="M2114" s="1" t="s">
        <v>8671</v>
      </c>
      <c r="N2114" s="1" t="s">
        <v>72</v>
      </c>
      <c r="O2114" s="1" t="s">
        <v>213</v>
      </c>
      <c r="P2114" s="2">
        <v>43747.4166666667</v>
      </c>
      <c r="Q2114" s="1" t="s">
        <v>74</v>
      </c>
      <c r="R2114" s="3">
        <v>43788.0</v>
      </c>
      <c r="S2114" s="1"/>
      <c r="T2114" s="1">
        <v>3304557.0</v>
      </c>
      <c r="U2114" s="1" t="s">
        <v>286</v>
      </c>
      <c r="V2114" s="1" t="s">
        <v>287</v>
      </c>
      <c r="W2114" s="1" t="s">
        <v>288</v>
      </c>
      <c r="X2114" s="1"/>
      <c r="Y2114" s="1"/>
      <c r="Z2114" s="1" t="s">
        <v>215</v>
      </c>
      <c r="AA2114" s="1" t="s">
        <v>907</v>
      </c>
      <c r="AB2114" s="1" t="str">
        <f>"33000167000292"</f>
        <v>33000167000292</v>
      </c>
      <c r="AC2114" s="1"/>
      <c r="AD2114" s="1"/>
      <c r="AE2114" s="1"/>
      <c r="AF2114" s="1">
        <v>-40.676666</v>
      </c>
      <c r="AG2114" s="1">
        <v>-22.701389</v>
      </c>
      <c r="AH2114" s="1" t="s">
        <v>8552</v>
      </c>
      <c r="AI2114" s="1"/>
      <c r="AJ2114" s="1" t="s">
        <v>172</v>
      </c>
      <c r="AK2114" s="1"/>
      <c r="AL2114" s="1" t="s">
        <v>79</v>
      </c>
      <c r="AM2114" s="1" t="s">
        <v>65</v>
      </c>
      <c r="AN2114" s="1" t="s">
        <v>5373</v>
      </c>
      <c r="AO2114" s="2">
        <v>43983.0</v>
      </c>
      <c r="AP2114" s="2">
        <v>43983.6633912037</v>
      </c>
      <c r="AQ2114" s="1" t="s">
        <v>80</v>
      </c>
      <c r="AR2114" s="1" t="s">
        <v>462</v>
      </c>
      <c r="AS2114" s="1"/>
      <c r="AT2114" s="2">
        <v>44269.931099537</v>
      </c>
    </row>
    <row r="2115" ht="13.5" customHeight="1">
      <c r="A2115" s="1">
        <v>2040077.0</v>
      </c>
      <c r="B2115" s="1" t="s">
        <v>67</v>
      </c>
      <c r="C2115" s="1" t="s">
        <v>68</v>
      </c>
      <c r="D2115" s="1" t="s">
        <v>46</v>
      </c>
      <c r="E2115" s="1" t="s">
        <v>8672</v>
      </c>
      <c r="F2115" s="1"/>
      <c r="G2115" s="1" t="s">
        <v>70</v>
      </c>
      <c r="H2115" s="1" t="s">
        <v>93</v>
      </c>
      <c r="I2115" s="1">
        <v>3000.0</v>
      </c>
      <c r="J2115" s="1"/>
      <c r="K2115" s="1"/>
      <c r="L2115" s="1" t="s">
        <v>731</v>
      </c>
      <c r="M2115" s="1" t="s">
        <v>8673</v>
      </c>
      <c r="N2115" s="1" t="s">
        <v>108</v>
      </c>
      <c r="O2115" s="1" t="s">
        <v>109</v>
      </c>
      <c r="P2115" s="2">
        <v>43747.1666666667</v>
      </c>
      <c r="Q2115" s="1" t="s">
        <v>74</v>
      </c>
      <c r="R2115" s="3">
        <v>43807.0</v>
      </c>
      <c r="S2115" s="1"/>
      <c r="T2115" s="1">
        <v>2514503.0</v>
      </c>
      <c r="U2115" s="1" t="s">
        <v>8674</v>
      </c>
      <c r="V2115" s="1" t="s">
        <v>728</v>
      </c>
      <c r="W2115" s="1" t="s">
        <v>113</v>
      </c>
      <c r="X2115" s="1"/>
      <c r="Y2115" s="1" t="str">
        <f>"02016000101202099"</f>
        <v>02016000101202099</v>
      </c>
      <c r="Z2115" s="1" t="s">
        <v>226</v>
      </c>
      <c r="AA2115" s="1" t="s">
        <v>8675</v>
      </c>
      <c r="AB2115" s="1" t="str">
        <f>"16629499000130"</f>
        <v>16629499000130</v>
      </c>
      <c r="AC2115" s="1"/>
      <c r="AD2115" s="1"/>
      <c r="AE2115" s="1"/>
      <c r="AF2115" s="1">
        <v>-34.851109</v>
      </c>
      <c r="AG2115" s="1">
        <v>-7.131111</v>
      </c>
      <c r="AH2115" s="1" t="s">
        <v>8676</v>
      </c>
      <c r="AI2115" s="1"/>
      <c r="AJ2115" s="1" t="s">
        <v>731</v>
      </c>
      <c r="AK2115" s="1"/>
      <c r="AL2115" s="1" t="s">
        <v>79</v>
      </c>
      <c r="AM2115" s="1" t="s">
        <v>65</v>
      </c>
      <c r="AN2115" s="1" t="s">
        <v>3305</v>
      </c>
      <c r="AO2115" s="2">
        <v>44085.0</v>
      </c>
      <c r="AP2115" s="2">
        <v>44085.6847337963</v>
      </c>
      <c r="AQ2115" s="1" t="s">
        <v>80</v>
      </c>
      <c r="AR2115" s="1" t="s">
        <v>81</v>
      </c>
      <c r="AS2115" s="1"/>
      <c r="AT2115" s="2">
        <v>44269.931099537</v>
      </c>
    </row>
    <row r="2116" ht="13.5" customHeight="1">
      <c r="A2116" s="1">
        <v>2036166.0</v>
      </c>
      <c r="B2116" s="1" t="s">
        <v>67</v>
      </c>
      <c r="C2116" s="1" t="s">
        <v>68</v>
      </c>
      <c r="D2116" s="1" t="s">
        <v>46</v>
      </c>
      <c r="E2116" s="1" t="s">
        <v>8677</v>
      </c>
      <c r="F2116" s="1"/>
      <c r="G2116" s="1" t="s">
        <v>70</v>
      </c>
      <c r="H2116" s="1" t="s">
        <v>50</v>
      </c>
      <c r="I2116" s="1">
        <v>13500.0</v>
      </c>
      <c r="J2116" s="1"/>
      <c r="K2116" s="1"/>
      <c r="L2116" s="1" t="s">
        <v>106</v>
      </c>
      <c r="M2116" s="1" t="s">
        <v>8678</v>
      </c>
      <c r="N2116" s="1" t="s">
        <v>142</v>
      </c>
      <c r="O2116" s="1" t="s">
        <v>143</v>
      </c>
      <c r="P2116" s="2">
        <v>43746.9166666667</v>
      </c>
      <c r="Q2116" s="1" t="s">
        <v>373</v>
      </c>
      <c r="R2116" s="3">
        <v>43746.0</v>
      </c>
      <c r="S2116" s="1"/>
      <c r="T2116" s="1">
        <v>2303709.0</v>
      </c>
      <c r="U2116" s="1" t="s">
        <v>3994</v>
      </c>
      <c r="V2116" s="1" t="s">
        <v>112</v>
      </c>
      <c r="W2116" s="1" t="s">
        <v>288</v>
      </c>
      <c r="X2116" s="1"/>
      <c r="Y2116" s="1" t="str">
        <f>"02007001271202008"</f>
        <v>02007001271202008</v>
      </c>
      <c r="Z2116" s="1" t="s">
        <v>147</v>
      </c>
      <c r="AA2116" s="1" t="s">
        <v>8628</v>
      </c>
      <c r="AB2116" s="1" t="str">
        <f>"***864604**"</f>
        <v>***864604**</v>
      </c>
      <c r="AC2116" s="1"/>
      <c r="AD2116" s="1"/>
      <c r="AE2116" s="1"/>
      <c r="AF2116" s="1">
        <v>-38.743057</v>
      </c>
      <c r="AG2116" s="1">
        <v>-3.735556</v>
      </c>
      <c r="AH2116" s="1" t="s">
        <v>8679</v>
      </c>
      <c r="AI2116" s="1"/>
      <c r="AJ2116" s="1" t="s">
        <v>106</v>
      </c>
      <c r="AK2116" s="1"/>
      <c r="AL2116" s="1" t="s">
        <v>79</v>
      </c>
      <c r="AM2116" s="1" t="s">
        <v>65</v>
      </c>
      <c r="AN2116" s="1" t="s">
        <v>1321</v>
      </c>
      <c r="AO2116" s="2">
        <v>43938.0</v>
      </c>
      <c r="AP2116" s="2">
        <v>43938.489375</v>
      </c>
      <c r="AQ2116" s="1" t="s">
        <v>80</v>
      </c>
      <c r="AR2116" s="1" t="s">
        <v>181</v>
      </c>
      <c r="AS2116" s="1"/>
      <c r="AT2116" s="2">
        <v>44269.931099537</v>
      </c>
    </row>
    <row r="2117" ht="13.5" customHeight="1">
      <c r="A2117" s="1">
        <v>2037927.0</v>
      </c>
      <c r="B2117" s="1" t="s">
        <v>67</v>
      </c>
      <c r="C2117" s="1" t="s">
        <v>68</v>
      </c>
      <c r="D2117" s="1" t="s">
        <v>46</v>
      </c>
      <c r="E2117" s="1" t="s">
        <v>8680</v>
      </c>
      <c r="F2117" s="1"/>
      <c r="G2117" s="1" t="s">
        <v>70</v>
      </c>
      <c r="H2117" s="1" t="s">
        <v>93</v>
      </c>
      <c r="I2117" s="1">
        <v>1660000.0</v>
      </c>
      <c r="J2117" s="1"/>
      <c r="K2117" s="1"/>
      <c r="L2117" s="1" t="s">
        <v>172</v>
      </c>
      <c r="M2117" s="1" t="s">
        <v>8681</v>
      </c>
      <c r="N2117" s="1" t="s">
        <v>142</v>
      </c>
      <c r="O2117" s="1" t="s">
        <v>143</v>
      </c>
      <c r="P2117" s="2">
        <v>43746.75</v>
      </c>
      <c r="Q2117" s="1" t="s">
        <v>74</v>
      </c>
      <c r="R2117" s="1"/>
      <c r="S2117" s="1"/>
      <c r="T2117" s="1">
        <v>1500602.0</v>
      </c>
      <c r="U2117" s="1" t="s">
        <v>5135</v>
      </c>
      <c r="V2117" s="1" t="s">
        <v>193</v>
      </c>
      <c r="W2117" s="1" t="s">
        <v>177</v>
      </c>
      <c r="X2117" s="1"/>
      <c r="Y2117" s="1"/>
      <c r="Z2117" s="1" t="s">
        <v>147</v>
      </c>
      <c r="AA2117" s="1" t="s">
        <v>8682</v>
      </c>
      <c r="AB2117" s="1" t="str">
        <f>"***136491**"</f>
        <v>***136491**</v>
      </c>
      <c r="AC2117" s="1"/>
      <c r="AD2117" s="1"/>
      <c r="AE2117" s="1"/>
      <c r="AF2117" s="1">
        <v>-55.193611</v>
      </c>
      <c r="AG2117" s="1">
        <v>-6.329444</v>
      </c>
      <c r="AH2117" s="1" t="s">
        <v>8683</v>
      </c>
      <c r="AI2117" s="1"/>
      <c r="AJ2117" s="1" t="s">
        <v>172</v>
      </c>
      <c r="AK2117" s="1"/>
      <c r="AL2117" s="1" t="s">
        <v>79</v>
      </c>
      <c r="AM2117" s="1" t="s">
        <v>65</v>
      </c>
      <c r="AN2117" s="1" t="s">
        <v>8684</v>
      </c>
      <c r="AO2117" s="2">
        <v>44014.0</v>
      </c>
      <c r="AP2117" s="2">
        <v>44014.4396412037</v>
      </c>
      <c r="AQ2117" s="1" t="s">
        <v>80</v>
      </c>
      <c r="AR2117" s="1" t="s">
        <v>650</v>
      </c>
      <c r="AS2117" s="1"/>
      <c r="AT2117" s="2">
        <v>44269.931099537</v>
      </c>
    </row>
    <row r="2118" ht="13.5" customHeight="1">
      <c r="A2118" s="1">
        <v>1991793.0</v>
      </c>
      <c r="B2118" s="1" t="s">
        <v>67</v>
      </c>
      <c r="C2118" s="1" t="s">
        <v>68</v>
      </c>
      <c r="D2118" s="1" t="s">
        <v>46</v>
      </c>
      <c r="E2118" s="1">
        <v>9218901.0</v>
      </c>
      <c r="F2118" s="1" t="s">
        <v>1293</v>
      </c>
      <c r="G2118" s="1" t="s">
        <v>70</v>
      </c>
      <c r="H2118" s="1" t="s">
        <v>93</v>
      </c>
      <c r="I2118" s="1">
        <v>12000.0</v>
      </c>
      <c r="J2118" s="1"/>
      <c r="K2118" s="1"/>
      <c r="L2118" s="1" t="s">
        <v>501</v>
      </c>
      <c r="M2118" s="1" t="s">
        <v>8685</v>
      </c>
      <c r="N2118" s="1" t="s">
        <v>72</v>
      </c>
      <c r="O2118" s="1"/>
      <c r="P2118" s="2">
        <v>43746.6861111111</v>
      </c>
      <c r="Q2118" s="1" t="s">
        <v>373</v>
      </c>
      <c r="R2118" s="1"/>
      <c r="S2118" s="1"/>
      <c r="T2118" s="1">
        <v>2413607.0</v>
      </c>
      <c r="U2118" s="1" t="s">
        <v>8686</v>
      </c>
      <c r="V2118" s="1" t="s">
        <v>1424</v>
      </c>
      <c r="W2118" s="1" t="s">
        <v>113</v>
      </c>
      <c r="X2118" s="1"/>
      <c r="Y2118" s="1" t="str">
        <f>"02021000277202071"</f>
        <v>02021000277202071</v>
      </c>
      <c r="Z2118" s="1" t="s">
        <v>76</v>
      </c>
      <c r="AA2118" s="1" t="s">
        <v>8687</v>
      </c>
      <c r="AB2118" s="1" t="str">
        <f>"***208604**"</f>
        <v>***208604**</v>
      </c>
      <c r="AC2118" s="1"/>
      <c r="AD2118" s="1" t="s">
        <v>116</v>
      </c>
      <c r="AE2118" s="1"/>
      <c r="AF2118" s="1">
        <v>0.0</v>
      </c>
      <c r="AG2118" s="1">
        <v>0.0</v>
      </c>
      <c r="AH2118" s="1" t="s">
        <v>8688</v>
      </c>
      <c r="AI2118" s="1"/>
      <c r="AJ2118" s="1" t="s">
        <v>65</v>
      </c>
      <c r="AK2118" s="1"/>
      <c r="AL2118" s="1" t="s">
        <v>118</v>
      </c>
      <c r="AM2118" s="1"/>
      <c r="AN2118" s="1"/>
      <c r="AO2118" s="2">
        <v>43007.5895717593</v>
      </c>
      <c r="AP2118" s="2">
        <v>44084.639849537</v>
      </c>
      <c r="AQ2118" s="1" t="s">
        <v>80</v>
      </c>
      <c r="AR2118" s="1" t="s">
        <v>8549</v>
      </c>
      <c r="AS2118" s="1"/>
      <c r="AT2118" s="2">
        <v>44269.931099537</v>
      </c>
    </row>
    <row r="2119" ht="13.5" customHeight="1">
      <c r="A2119" s="1">
        <v>1977400.0</v>
      </c>
      <c r="B2119" s="1" t="s">
        <v>67</v>
      </c>
      <c r="C2119" s="1" t="s">
        <v>68</v>
      </c>
      <c r="D2119" s="1" t="s">
        <v>46</v>
      </c>
      <c r="E2119" s="1">
        <v>9205046.0</v>
      </c>
      <c r="F2119" s="1" t="s">
        <v>1293</v>
      </c>
      <c r="G2119" s="1" t="s">
        <v>70</v>
      </c>
      <c r="H2119" s="1" t="s">
        <v>50</v>
      </c>
      <c r="I2119" s="1">
        <v>20500.0</v>
      </c>
      <c r="J2119" s="1"/>
      <c r="K2119" s="1" t="s">
        <v>8689</v>
      </c>
      <c r="L2119" s="1" t="s">
        <v>65</v>
      </c>
      <c r="M2119" s="1" t="s">
        <v>8690</v>
      </c>
      <c r="N2119" s="1" t="s">
        <v>72</v>
      </c>
      <c r="O2119" s="1"/>
      <c r="P2119" s="2">
        <v>43746.4513888889</v>
      </c>
      <c r="Q2119" s="1" t="s">
        <v>55</v>
      </c>
      <c r="R2119" s="1"/>
      <c r="S2119" s="1"/>
      <c r="T2119" s="1">
        <v>3103504.0</v>
      </c>
      <c r="U2119" s="1" t="s">
        <v>8691</v>
      </c>
      <c r="V2119" s="1" t="s">
        <v>126</v>
      </c>
      <c r="W2119" s="1" t="s">
        <v>127</v>
      </c>
      <c r="X2119" s="1"/>
      <c r="Y2119" s="1" t="str">
        <f>"02553000561201904"</f>
        <v>02553000561201904</v>
      </c>
      <c r="Z2119" s="1" t="s">
        <v>215</v>
      </c>
      <c r="AA2119" s="1" t="s">
        <v>8692</v>
      </c>
      <c r="AB2119" s="1" t="str">
        <f>"09414294000172"</f>
        <v>09414294000172</v>
      </c>
      <c r="AC2119" s="1"/>
      <c r="AD2119" s="1" t="s">
        <v>116</v>
      </c>
      <c r="AE2119" s="1"/>
      <c r="AF2119" s="1">
        <v>-48.238056</v>
      </c>
      <c r="AG2119" s="1">
        <v>-18.916667</v>
      </c>
      <c r="AH2119" s="1" t="s">
        <v>8693</v>
      </c>
      <c r="AI2119" s="1"/>
      <c r="AJ2119" s="1" t="s">
        <v>65</v>
      </c>
      <c r="AK2119" s="1"/>
      <c r="AL2119" s="1" t="s">
        <v>118</v>
      </c>
      <c r="AM2119" s="1"/>
      <c r="AN2119" s="1"/>
      <c r="AO2119" s="2">
        <v>42948.6946643519</v>
      </c>
      <c r="AP2119" s="2">
        <v>43747.4671296296</v>
      </c>
      <c r="AQ2119" s="1" t="s">
        <v>80</v>
      </c>
      <c r="AR2119" s="1" t="s">
        <v>8694</v>
      </c>
      <c r="AS2119" s="1"/>
      <c r="AT2119" s="2">
        <v>44269.931099537</v>
      </c>
    </row>
    <row r="2120" ht="13.5" customHeight="1">
      <c r="A2120" s="1">
        <v>1991792.0</v>
      </c>
      <c r="B2120" s="1" t="s">
        <v>67</v>
      </c>
      <c r="C2120" s="1" t="s">
        <v>89</v>
      </c>
      <c r="D2120" s="1" t="s">
        <v>67</v>
      </c>
      <c r="E2120" s="1">
        <v>9218900.0</v>
      </c>
      <c r="F2120" s="1" t="s">
        <v>1293</v>
      </c>
      <c r="G2120" s="1" t="s">
        <v>70</v>
      </c>
      <c r="H2120" s="1" t="s">
        <v>93</v>
      </c>
      <c r="I2120" s="1">
        <v>5000.0</v>
      </c>
      <c r="J2120" s="1"/>
      <c r="K2120" s="1"/>
      <c r="L2120" s="1" t="s">
        <v>501</v>
      </c>
      <c r="M2120" s="1" t="s">
        <v>8695</v>
      </c>
      <c r="N2120" s="1" t="s">
        <v>72</v>
      </c>
      <c r="O2120" s="1"/>
      <c r="P2120" s="2">
        <v>43746.4388888889</v>
      </c>
      <c r="Q2120" s="1" t="s">
        <v>373</v>
      </c>
      <c r="R2120" s="1"/>
      <c r="S2120" s="1"/>
      <c r="T2120" s="1">
        <v>2410207.0</v>
      </c>
      <c r="U2120" s="1" t="s">
        <v>8696</v>
      </c>
      <c r="V2120" s="1" t="s">
        <v>1424</v>
      </c>
      <c r="W2120" s="1" t="s">
        <v>113</v>
      </c>
      <c r="X2120" s="1"/>
      <c r="Y2120" s="1" t="str">
        <f>"02021000278202016"</f>
        <v>02021000278202016</v>
      </c>
      <c r="Z2120" s="1" t="s">
        <v>76</v>
      </c>
      <c r="AA2120" s="1" t="s">
        <v>8697</v>
      </c>
      <c r="AB2120" s="1" t="str">
        <f>"***702954**"</f>
        <v>***702954**</v>
      </c>
      <c r="AC2120" s="1"/>
      <c r="AD2120" s="1" t="s">
        <v>116</v>
      </c>
      <c r="AE2120" s="1"/>
      <c r="AF2120" s="1">
        <v>0.0</v>
      </c>
      <c r="AG2120" s="1">
        <v>0.0</v>
      </c>
      <c r="AH2120" s="1"/>
      <c r="AI2120" s="1"/>
      <c r="AJ2120" s="1" t="s">
        <v>501</v>
      </c>
      <c r="AK2120" s="1"/>
      <c r="AL2120" s="1" t="s">
        <v>118</v>
      </c>
      <c r="AM2120" s="1"/>
      <c r="AN2120" s="1"/>
      <c r="AO2120" s="2">
        <v>43007.5895717593</v>
      </c>
      <c r="AP2120" s="2">
        <v>44252.6500347222</v>
      </c>
      <c r="AQ2120" s="1" t="s">
        <v>89</v>
      </c>
      <c r="AR2120" s="1" t="s">
        <v>8698</v>
      </c>
      <c r="AS2120" s="1"/>
      <c r="AT2120" s="2">
        <v>44269.931099537</v>
      </c>
    </row>
    <row r="2121" ht="13.5" customHeight="1">
      <c r="A2121" s="1">
        <v>1916424.0</v>
      </c>
      <c r="B2121" s="1" t="s">
        <v>67</v>
      </c>
      <c r="C2121" s="1" t="s">
        <v>68</v>
      </c>
      <c r="D2121" s="1" t="s">
        <v>46</v>
      </c>
      <c r="E2121" s="1">
        <v>9144170.0</v>
      </c>
      <c r="F2121" s="1" t="s">
        <v>1293</v>
      </c>
      <c r="G2121" s="1" t="s">
        <v>70</v>
      </c>
      <c r="H2121" s="1" t="s">
        <v>93</v>
      </c>
      <c r="I2121" s="1">
        <v>8820.0</v>
      </c>
      <c r="J2121" s="1"/>
      <c r="K2121" s="1"/>
      <c r="L2121" s="1" t="s">
        <v>898</v>
      </c>
      <c r="M2121" s="1" t="s">
        <v>8699</v>
      </c>
      <c r="N2121" s="1" t="s">
        <v>142</v>
      </c>
      <c r="O2121" s="1"/>
      <c r="P2121" s="2">
        <v>43746.4305555556</v>
      </c>
      <c r="Q2121" s="1" t="s">
        <v>373</v>
      </c>
      <c r="R2121" s="3">
        <v>43746.0</v>
      </c>
      <c r="S2121" s="1"/>
      <c r="T2121" s="1">
        <v>2207702.0</v>
      </c>
      <c r="U2121" s="1" t="s">
        <v>1190</v>
      </c>
      <c r="V2121" s="1" t="s">
        <v>895</v>
      </c>
      <c r="W2121" s="1" t="s">
        <v>8700</v>
      </c>
      <c r="X2121" s="1"/>
      <c r="Y2121" s="1" t="str">
        <f>"02581000298201916"</f>
        <v>02581000298201916</v>
      </c>
      <c r="Z2121" s="1" t="s">
        <v>147</v>
      </c>
      <c r="AA2121" s="1" t="s">
        <v>8701</v>
      </c>
      <c r="AB2121" s="1" t="str">
        <f>"15388764000173"</f>
        <v>15388764000173</v>
      </c>
      <c r="AC2121" s="1"/>
      <c r="AD2121" s="1" t="s">
        <v>116</v>
      </c>
      <c r="AE2121" s="1"/>
      <c r="AF2121" s="1">
        <v>0.0</v>
      </c>
      <c r="AG2121" s="1">
        <v>0.0</v>
      </c>
      <c r="AH2121" s="1" t="s">
        <v>8702</v>
      </c>
      <c r="AI2121" s="1"/>
      <c r="AJ2121" s="1" t="s">
        <v>65</v>
      </c>
      <c r="AK2121" s="1"/>
      <c r="AL2121" s="1" t="s">
        <v>118</v>
      </c>
      <c r="AM2121" s="1"/>
      <c r="AN2121" s="1"/>
      <c r="AO2121" s="2">
        <v>42842.4698032407</v>
      </c>
      <c r="AP2121" s="2">
        <v>43864.4902314815</v>
      </c>
      <c r="AQ2121" s="1" t="s">
        <v>80</v>
      </c>
      <c r="AR2121" s="1" t="s">
        <v>8703</v>
      </c>
      <c r="AS2121" s="1"/>
      <c r="AT2121" s="2">
        <v>44269.931099537</v>
      </c>
    </row>
    <row r="2122" ht="13.5" customHeight="1">
      <c r="A2122" s="1">
        <v>1987465.0</v>
      </c>
      <c r="B2122" s="1" t="s">
        <v>67</v>
      </c>
      <c r="C2122" s="1" t="s">
        <v>68</v>
      </c>
      <c r="D2122" s="1" t="s">
        <v>46</v>
      </c>
      <c r="E2122" s="1">
        <v>9215111.0</v>
      </c>
      <c r="F2122" s="1" t="s">
        <v>1293</v>
      </c>
      <c r="G2122" s="1" t="s">
        <v>70</v>
      </c>
      <c r="H2122" s="1" t="s">
        <v>93</v>
      </c>
      <c r="I2122" s="1">
        <v>8100.0</v>
      </c>
      <c r="J2122" s="1"/>
      <c r="K2122" s="1"/>
      <c r="L2122" s="1" t="s">
        <v>65</v>
      </c>
      <c r="M2122" s="1" t="s">
        <v>8704</v>
      </c>
      <c r="N2122" s="1" t="s">
        <v>142</v>
      </c>
      <c r="O2122" s="1"/>
      <c r="P2122" s="2">
        <v>43746.3951388889</v>
      </c>
      <c r="Q2122" s="1" t="s">
        <v>74</v>
      </c>
      <c r="R2122" s="1"/>
      <c r="S2122" s="1"/>
      <c r="T2122" s="1">
        <v>1302603.0</v>
      </c>
      <c r="U2122" s="1" t="s">
        <v>3499</v>
      </c>
      <c r="V2122" s="1" t="s">
        <v>486</v>
      </c>
      <c r="W2122" s="1" t="s">
        <v>177</v>
      </c>
      <c r="X2122" s="1"/>
      <c r="Y2122" s="1" t="str">
        <f>"02005002905201918"</f>
        <v>02005002905201918</v>
      </c>
      <c r="Z2122" s="1" t="s">
        <v>147</v>
      </c>
      <c r="AA2122" s="1" t="s">
        <v>8162</v>
      </c>
      <c r="AB2122" s="1" t="str">
        <f>"21604695000190"</f>
        <v>21604695000190</v>
      </c>
      <c r="AC2122" s="1"/>
      <c r="AD2122" s="1" t="s">
        <v>116</v>
      </c>
      <c r="AE2122" s="1"/>
      <c r="AF2122" s="1">
        <v>-59.990556</v>
      </c>
      <c r="AG2122" s="1">
        <v>-3.155278</v>
      </c>
      <c r="AH2122" s="1" t="s">
        <v>8705</v>
      </c>
      <c r="AI2122" s="1"/>
      <c r="AJ2122" s="1" t="s">
        <v>65</v>
      </c>
      <c r="AK2122" s="1"/>
      <c r="AL2122" s="1" t="s">
        <v>8706</v>
      </c>
      <c r="AM2122" s="1"/>
      <c r="AN2122" s="1"/>
      <c r="AO2122" s="2">
        <v>43746.4049768519</v>
      </c>
      <c r="AP2122" s="2">
        <v>43749.6088773148</v>
      </c>
      <c r="AQ2122" s="1" t="s">
        <v>80</v>
      </c>
      <c r="AR2122" s="1" t="s">
        <v>8707</v>
      </c>
      <c r="AS2122" s="1"/>
      <c r="AT2122" s="2">
        <v>44269.931099537</v>
      </c>
    </row>
  </sheetData>
  <autoFilter ref="$A$1:$AT$2122"/>
  <printOptions/>
  <pageMargins bottom="0.7875" footer="0.0" header="0.0" left="0.511805555555555" right="0.511805555555555" top="0.7875"/>
  <pageSetup paperSize="9" orientation="portrait"/>
  <drawing r:id="rId1"/>
</worksheet>
</file>